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<sst xmlns="http://schemas.openxmlformats.org/spreadsheetml/2006/main" count="113" uniqueCount="101">
  <si>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Centene Corporation (CNC)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</si>
  <si>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</si>
  <si>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</si>
  <si>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</si>
  <si>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</si>
  <si>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</si>
  <si>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</si>
  <si>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</si>
  <si>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</si>
  <si>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</si>
  <si>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</si>
  <si>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</si>
  <si>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</si>
  <si>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</si>
  <si>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</si>
  <si>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</si>
  <si>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</si>
  <si>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</si>
  <si>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</si>
  <si>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</si>
  <si>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</si>
  <si>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</si>
  <si>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</si>
  <si>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</si>
  <si>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</si>
  <si>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</si>
  <si>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</si>
  <si>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</si>
  <si>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</si>
  <si>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</si>
  <si>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</si>
  <si>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</si>
  <si>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</si>
  <si>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</si>
  <si>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</si>
  <si>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</si>
  <si>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</si>
  <si>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</si>
  <si>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</si>
  <si>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</si>
  <si>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</si>
  <si>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</si>
  <si>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</si>
  <si>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</si>
  <si>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</si>
  <si>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</si>
  <si>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</si>
  <si>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</si>
  <si>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</si>
  <si>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</si>
  <si>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</si>
  <si>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</si>
  <si>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</si>
  <si>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</si>
  <si>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</si>
  <si>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</si>
  <si>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</si>
  <si>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</si>
  <si>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</si>
  <si>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</si>
  <si>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</si>
  <si>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</si>
  <si>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</si>
  <si>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</si>
  <si>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</si>
  <si>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</si>
  <si>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</si>
  <si>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</si>
  <si>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</si>
  <si>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</si>
  <si>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</si>
  <si>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</si>
  <si>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</si>
  <si>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</si>
  <si>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</si>
  <si>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</si>
  <si>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</si>
  <si>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</si>
  <si>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</si>
  <si>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</si>
  <si>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</si>
  <si>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</si>
  <si>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</si>
  <si>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</si>
  <si>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</si>
  <si>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</si>
  <si>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</si>
  <si>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</si>
  <si>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</si>
  <si>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</si>
  <si>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</si>
  <si>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</si>
  <si>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</si>
  <si>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</si>
  <si>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</si>
  <si>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</si>
  <si>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</si>
  <si>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</si>
  <si>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0.50%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</si>
  <si>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31.2x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</si>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</sst>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0.10452664402969458</v>
      </c>
    </row>
    <row r="7" spans="1:2" x14ac:dyDescent="0.25">
      <c r="A7" t="s">
        <v>5</v>
      </c>
      <c r="B7" s="6">
        <v>0.016390891918670956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0.008111315972096337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-0.09581782627893774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0.08383986338563972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1.07102</v>
      </c>
      <c r="C19" s="8" t="s">
        <v>19</v>
      </c>
    </row>
    <row r="20" spans="1:2" x14ac:dyDescent="0.25">
      <c r="A20" t="s">
        <v>20</v>
      </c>
      <c r="B20" s="10">
        <f>B17+B19*B18</f>
        <v>0.10888610000000001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32164016128</v>
      </c>
    </row>
    <row r="23" spans="1:2" x14ac:dyDescent="0.25">
      <c r="A23" t="s">
        <v>24</v>
      </c>
      <c r="B23" s="11">
        <v>18162000000</v>
      </c>
    </row>
    <row r="24" spans="1:2" x14ac:dyDescent="0.25">
      <c r="A24" t="s">
        <v>25</v>
      </c>
      <c r="B24" s="10">
        <f>B22/(B22+B23)</f>
        <v>0.6391130990021845</v>
      </c>
    </row>
    <row r="25" spans="1:2" x14ac:dyDescent="0.25">
      <c r="A25" t="s">
        <v>26</v>
      </c>
      <c r="B25" s="10">
        <f>1-B24</f>
        <v>0.3608869009978155</v>
      </c>
    </row>
    <row r="26" spans="1:2" x14ac:dyDescent="0.25">
      <c r="A26" t="s">
        <v>27</v>
      </c>
      <c r="B26" s="12">
        <f>B24*B20+B25*B21*(1-B8)</f>
        <v>0.08383986338563972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194777000000</v>
      </c>
      <c r="C29" s="8" t="s">
        <v>30</v>
      </c>
    </row>
    <row r="30" spans="1:2" x14ac:dyDescent="0.25">
      <c r="A30" t="s">
        <v>31</v>
      </c>
      <c r="B30" s="11">
        <v>-2158000000</v>
      </c>
    </row>
    <row r="31" spans="1:2" x14ac:dyDescent="0.25">
      <c r="A31" t="s">
        <v>32</v>
      </c>
      <c r="B31" s="13">
        <v>493116000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0.10452664402969458</v>
      </c>
      <c r="C5" s="10">
        <f>Assumptions!B6</f>
        <v>0.10452664402969458</v>
      </c>
      <c r="D5" s="10">
        <f>Assumptions!B6</f>
        <v>0.10452664402969458</v>
      </c>
      <c r="E5" s="10">
        <f>Assumptions!B6</f>
        <v>0.10452664402969458</v>
      </c>
      <c r="F5" s="10">
        <f>Assumptions!B6</f>
        <v>0.10452664402969458</v>
      </c>
    </row>
    <row r="6" spans="1:6" x14ac:dyDescent="0.25">
      <c r="A6" t="s">
        <v>43</v>
      </c>
      <c r="B6" s="18">
        <f>Assumptions!B29*(1+B5)</f>
        <v>215136386144.1718</v>
      </c>
      <c r="C6" s="18">
        <f>B6*(1+C5)</f>
        <v>237623870596.49857</v>
      </c>
      <c r="D6" s="18">
        <f>C6*(1+D5)</f>
        <v>262461896331.29697</v>
      </c>
      <c r="E6" s="18">
        <f>D6*(1+E5)</f>
        <v>289896157540.47705</v>
      </c>
      <c r="F6" s="18">
        <f>E6*(1+F5)</f>
        <v>320198030005.28674</v>
      </c>
    </row>
    <row r="7" spans="1:6" x14ac:dyDescent="0.25">
      <c r="A7" t="s">
        <v>5</v>
      </c>
      <c r="B7" s="10">
        <f>Assumptions!B7</f>
        <v>0.016390891918670956</v>
      </c>
      <c r="C7" s="10">
        <f>Assumptions!B7</f>
        <v>0.016390891918670956</v>
      </c>
      <c r="D7" s="10">
        <f>Assumptions!B7</f>
        <v>0.016390891918670956</v>
      </c>
      <c r="E7" s="10">
        <f>Assumptions!B7</f>
        <v>0.016390891918670956</v>
      </c>
      <c r="F7" s="10">
        <f>Assumptions!B7</f>
        <v>0.016390891918670956</v>
      </c>
    </row>
    <row r="8" spans="1:6" x14ac:dyDescent="0.25">
      <c r="A8" t="s">
        <v>44</v>
      </c>
      <c r="B8" s="18">
        <f>B6*B7</f>
        <v>3526277253.06258</v>
      </c>
      <c r="C8" s="18">
        <f>C6*C7</f>
        <v>3894867180.2434616</v>
      </c>
      <c r="D8" s="18">
        <f>D6*D7</f>
        <v>4301984575.535709</v>
      </c>
      <c r="E8" s="18">
        <f>E6*E7</f>
        <v>4751656585.883967</v>
      </c>
      <c r="F8" s="18">
        <f>F6*F7</f>
        <v>5248331302.388015</v>
      </c>
    </row>
    <row r="9" spans="1:6" x14ac:dyDescent="0.25">
      <c r="A9" t="s">
        <v>45</v>
      </c>
      <c r="B9" s="18">
        <f>B8*(1-Assumptions!B8)</f>
        <v>2785759029.9194384</v>
      </c>
      <c r="C9" s="18">
        <f>C8*(1-Assumptions!B8)</f>
        <v>3076945072.392335</v>
      </c>
      <c r="D9" s="18">
        <f>D8*(1-Assumptions!B8)</f>
        <v>3398567814.6732106</v>
      </c>
      <c r="E9" s="18">
        <f>E8*(1-Assumptions!B8)</f>
        <v>3753808702.8483343</v>
      </c>
      <c r="F9" s="18">
        <f>F8*(1-Assumptions!B8)</f>
        <v>4146181728.886532</v>
      </c>
    </row>
    <row r="10" spans="1:6" x14ac:dyDescent="0.25">
      <c r="A10" t="s">
        <v>46</v>
      </c>
      <c r="B10" s="18">
        <f>B6*Assumptions!B9</f>
        <v>1745039205.1103058</v>
      </c>
      <c r="C10" s="18">
        <f>C6*Assumptions!B9</f>
        <v>1927442296.9207318</v>
      </c>
      <c r="D10" s="18">
        <f>D6*Assumptions!B9</f>
        <v>2128911371.778742</v>
      </c>
      <c r="E10" s="18">
        <f>E6*Assumptions!B9</f>
        <v>2351439332.9074273</v>
      </c>
      <c r="F10" s="18">
        <f>F6*Assumptions!B9</f>
        <v>2597227395.0156646</v>
      </c>
    </row>
    <row r="11" spans="1:6" x14ac:dyDescent="0.25">
      <c r="A11" t="s">
        <v>47</v>
      </c>
      <c r="B11" s="18">
        <f>-B6*Assumptions!B10</f>
        <v>-2151363861.441718</v>
      </c>
      <c r="C11" s="18">
        <f>-C6*Assumptions!B10</f>
        <v>-2376238705.964986</v>
      </c>
      <c r="D11" s="18">
        <f>-D6*Assumptions!B10</f>
        <v>-2624618963.3129697</v>
      </c>
      <c r="E11" s="18">
        <f>-E6*Assumptions!B10</f>
        <v>-2898961575.4047704</v>
      </c>
      <c r="F11" s="18">
        <f>-F6*Assumptions!B10</f>
        <v>-3201980300.0528674</v>
      </c>
    </row>
    <row r="12" spans="1:6" x14ac:dyDescent="0.25">
      <c r="A12" t="s">
        <v>48</v>
      </c>
      <c r="B12" s="18">
        <f>-(B6-Assumptions!B29)*Assumptions!B11</f>
        <v>1950792124.708067</v>
      </c>
      <c r="C12" s="18">
        <f>-(C6-B6)*Assumptions!B11</f>
        <v>2154701878.703358</v>
      </c>
      <c r="D12" s="18">
        <f>-(D6-C6)*Assumptions!B11</f>
        <v>2379925634.968698</v>
      </c>
      <c r="E12" s="18">
        <f>-(E6-D6)*Assumptions!B11</f>
        <v>2628691274.632218</v>
      </c>
      <c r="F12" s="18">
        <f>-(F6-E6)*Assumptions!B11</f>
        <v>2903459551.759662</v>
      </c>
    </row>
    <row r="13" spans="1:6" x14ac:dyDescent="0.25">
      <c r="A13" s="19" t="s">
        <v>49</v>
      </c>
      <c r="B13" s="20">
        <f>B9+B10+B11+B12</f>
        <v>4330226498.296093</v>
      </c>
      <c r="C13" s="20">
        <f>C9+C10+C11+C12</f>
        <v>4782850542.051439</v>
      </c>
      <c r="D13" s="20">
        <f>D9+D10+D11+D12</f>
        <v>5282785858.107681</v>
      </c>
      <c r="E13" s="20">
        <f>E9+E10+E11+E12</f>
        <v>5834977734.98321</v>
      </c>
      <c r="F13" s="20">
        <f>F9+F10+F11+F12</f>
        <v>6444888375.608992</v>
      </c>
    </row>
    <row r="14" spans="1:6" x14ac:dyDescent="0.25">
      <c r="A14" t="s">
        <v>50</v>
      </c>
      <c r="B14" s="21">
        <f>1/(1+Assumptions!$B$26)^(1-0.5*Assumptions!$B$32)</f>
        <v>0.9605443900272325</v>
      </c>
      <c r="C14" s="21">
        <f>1/(1+Assumptions!$B$26)^(2-0.5*Assumptions!$B$32)</f>
        <v>0.886241983226873</v>
      </c>
      <c r="D14" s="21">
        <f>1/(1+Assumptions!$B$26)^(3-0.5*Assumptions!$B$32)</f>
        <v>0.8176872000799813</v>
      </c>
      <c r="E14" s="21">
        <f>1/(1+Assumptions!$B$26)^(4-0.5*Assumptions!$B$32)</f>
        <v>0.7544354361775685</v>
      </c>
      <c r="F14" s="21">
        <f>1/(1+Assumptions!$B$26)^(5-0.5*Assumptions!$B$32)</f>
        <v>0.6960764792511915</v>
      </c>
    </row>
    <row r="15" spans="1:6" x14ac:dyDescent="0.25">
      <c r="A15" s="19" t="s">
        <v>51</v>
      </c>
      <c r="B15" s="20">
        <f>B13*B14</f>
        <v>4159374770.4855795</v>
      </c>
      <c r="C15" s="20">
        <f>C13*C14</f>
        <v>4238762949.865392</v>
      </c>
      <c r="D15" s="20">
        <f>D13*D14</f>
        <v>4319666376.938191</v>
      </c>
      <c r="E15" s="20">
        <f>E13*E14</f>
        <v>4402113972.578458</v>
      </c>
      <c r="F15" s="20">
        <f>F13*F14</f>
        <v>4486135209.660838</v>
      </c>
    </row>
    <row r="17" spans="1:2" x14ac:dyDescent="0.25">
      <c r="A17" s="22" t="s">
        <v>52</v>
      </c>
      <c r="B17" s="23">
        <f>SUM(B15:F15)</f>
        <v>21606053279.528458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6444888375.608992</v>
      </c>
    </row>
    <row r="5" spans="1:2" x14ac:dyDescent="0.25">
      <c r="A5" t="s">
        <v>56</v>
      </c>
      <c r="B5" s="18">
        <f>IF(Assumptions!$B$33=0,B4,B4-Forecast!F11-Forecast!F10-Forecast!F12)</f>
        <v>4146181728.886532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0.2981875087869246</v>
      </c>
    </row>
    <row r="7" spans="1:2" x14ac:dyDescent="0.25">
      <c r="A7" t="s">
        <v>58</v>
      </c>
      <c r="B7" s="18">
        <f>-MAX(Forecast!F9,0)*B6</f>
        <v>-1236339600.714539</v>
      </c>
    </row>
    <row r="8" spans="1:2" x14ac:dyDescent="0.25">
      <c r="A8" t="s">
        <v>59</v>
      </c>
      <c r="B8" s="18">
        <f>IF(OR(Assumptions!$B$33=0,Assumptions!B12&lt;=0),B5,MAX(B5+B7,0))</f>
        <v>2909842128.171993</v>
      </c>
    </row>
    <row r="9" spans="1:2" x14ac:dyDescent="0.25">
      <c r="A9" t="s">
        <v>60</v>
      </c>
      <c r="B9" s="18">
        <f>B8*(1+Assumptions!B12)/(Assumptions!B26-Assumptions!B12)</f>
        <v>50689923629.29609</v>
      </c>
    </row>
    <row r="10" spans="1:2" x14ac:dyDescent="0.25">
      <c r="A10" t="s">
        <v>61</v>
      </c>
      <c r="B10" s="18">
        <f>B9/(1+Assumptions!B26)^(5-0.5*Assumptions!B32)</f>
        <v>35284063573.392204</v>
      </c>
    </row>
    <row r="11" spans="1:2" x14ac:dyDescent="0.25">
      <c r="A11" t="s">
        <v>62</v>
      </c>
      <c r="B11" s="18">
        <f>Forecast!B17+B10</f>
        <v>56890116852.92066</v>
      </c>
    </row>
    <row r="12" spans="1:2" x14ac:dyDescent="0.25">
      <c r="A12" t="s">
        <v>63</v>
      </c>
      <c r="B12" s="18">
        <f>-Assumptions!B30</f>
        <v>2158000000</v>
      </c>
    </row>
    <row r="13" spans="1:2" x14ac:dyDescent="0.25">
      <c r="A13" t="s">
        <v>64</v>
      </c>
      <c r="B13" s="18">
        <f>B11+B12</f>
        <v>59048116852.92066</v>
      </c>
    </row>
    <row r="14" spans="1:2" x14ac:dyDescent="0.25">
      <c r="A14" s="19" t="s">
        <v>65</v>
      </c>
      <c r="B14" s="24">
        <f>B13/Assumptions!B31</f>
        <v>119.74488123062456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7845558697.403679</v>
      </c>
    </row>
    <row r="18" spans="1:2" x14ac:dyDescent="0.25">
      <c r="A18" t="s">
        <v>60</v>
      </c>
      <c r="B18" s="18">
        <f>B17*Assumptions!B13</f>
        <v>156911173948.07358</v>
      </c>
    </row>
    <row r="19" spans="1:2" x14ac:dyDescent="0.25">
      <c r="A19" t="s">
        <v>61</v>
      </c>
      <c r="B19" s="18">
        <f>B18/(1+Assumptions!B26)^(5-0.5*Assumptions!B32)</f>
        <v>109222177516.94635</v>
      </c>
    </row>
    <row r="20" spans="1:2" x14ac:dyDescent="0.25">
      <c r="A20" t="s">
        <v>62</v>
      </c>
      <c r="B20" s="18">
        <f>Forecast!B17+B19</f>
        <v>130828230796.47481</v>
      </c>
    </row>
    <row r="21" spans="1:2" x14ac:dyDescent="0.25">
      <c r="A21" t="s">
        <v>63</v>
      </c>
      <c r="B21" s="18">
        <f>-Assumptions!B30</f>
        <v>2158000000</v>
      </c>
    </row>
    <row r="22" spans="1:2" x14ac:dyDescent="0.25">
      <c r="A22" t="s">
        <v>64</v>
      </c>
      <c r="B22" s="18">
        <f>B20+B21</f>
        <v>132986230796.47481</v>
      </c>
    </row>
    <row r="23" spans="1:2" x14ac:dyDescent="0.25">
      <c r="A23" s="19" t="s">
        <v>65</v>
      </c>
      <c r="B23" s="25">
        <f>B22/Assumptions!B31</f>
        <v>269.6854914390829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65.11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119.74488123062456</v>
      </c>
    </row>
    <row r="29" spans="1:2" x14ac:dyDescent="0.25">
      <c r="A29" s="19" t="s">
        <v>73</v>
      </c>
      <c r="B29" s="12">
        <f>B28/B26-1</f>
        <v>0.8391165908558524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0.06384</v>
      </c>
      <c r="B5" s="31">
        <v>151.51627590479535</v>
      </c>
      <c r="C5" s="31">
        <v>152.01473892556365</v>
      </c>
      <c r="D5" s="31">
        <v>152.51320194633192</v>
      </c>
      <c r="E5" s="31">
        <v>153.0116649671003</v>
      </c>
      <c r="F5" s="31">
        <v>153.51012798786854</v>
      </c>
    </row>
    <row r="6" spans="1:6" x14ac:dyDescent="0.25">
      <c r="A6" s="30">
        <v>0.07384</v>
      </c>
      <c r="B6" s="31">
        <v>133.1158653894947</v>
      </c>
      <c r="C6" s="31">
        <v>133.52905506230206</v>
      </c>
      <c r="D6" s="31">
        <v>133.94224473510943</v>
      </c>
      <c r="E6" s="31">
        <v>134.35543440791676</v>
      </c>
      <c r="F6" s="31">
        <v>134.76862408072412</v>
      </c>
    </row>
    <row r="7" spans="1:6" x14ac:dyDescent="0.25">
      <c r="A7" s="30">
        <v>0.08384</v>
      </c>
      <c r="B7" s="31">
        <v>119.04663086079981</v>
      </c>
      <c r="C7" s="31">
        <v>119.39567044823782</v>
      </c>
      <c r="D7" s="32">
        <v>119.74471003567584</v>
      </c>
      <c r="E7" s="31">
        <v>120.09374962311382</v>
      </c>
      <c r="F7" s="31">
        <v>120.44278921055184</v>
      </c>
    </row>
    <row r="8" spans="1:6" x14ac:dyDescent="0.25">
      <c r="A8" s="30">
        <v>0.09384</v>
      </c>
      <c r="B8" s="31">
        <v>107.92723616736993</v>
      </c>
      <c r="C8" s="31">
        <v>108.22645514930377</v>
      </c>
      <c r="D8" s="31">
        <v>108.52567413123758</v>
      </c>
      <c r="E8" s="31">
        <v>108.82489311317146</v>
      </c>
      <c r="F8" s="31">
        <v>109.12411209510529</v>
      </c>
    </row>
    <row r="9" spans="1:6" x14ac:dyDescent="0.25">
      <c r="A9" s="30">
        <v>0.10384</v>
      </c>
      <c r="B9" s="31">
        <v>98.90823483518562</v>
      </c>
      <c r="C9" s="31">
        <v>99.16778839517451</v>
      </c>
      <c r="D9" s="31">
        <v>99.42734195516336</v>
      </c>
      <c r="E9" s="31">
        <v>99.68689551515222</v>
      </c>
      <c r="F9" s="31">
        <v>99.94644907514106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194777000000</v>
      </c>
      <c r="C5" s="18">
        <v>163071000000</v>
      </c>
      <c r="D5" s="18">
        <v>153999000000</v>
      </c>
      <c r="E5" s="18">
        <v>144547000000</v>
      </c>
      <c r="F5" s="8" t="s">
        <v>84</v>
      </c>
    </row>
    <row r="6" spans="1:6" x14ac:dyDescent="0.25">
      <c r="A6" t="s">
        <v>44</v>
      </c>
      <c r="B6" s="18">
        <v>-312000000</v>
      </c>
      <c r="C6" s="18">
        <v>3188000000</v>
      </c>
      <c r="D6" s="18">
        <v>3459000000</v>
      </c>
      <c r="E6" s="18">
        <v>3636000000</v>
      </c>
      <c r="F6" s="8" t="s">
        <v>85</v>
      </c>
    </row>
    <row r="7" spans="1:6" x14ac:dyDescent="0.25">
      <c r="A7" t="s">
        <v>86</v>
      </c>
      <c r="B7" s="18">
        <v>1275000000</v>
      </c>
      <c r="C7" s="18">
        <v>1241000000</v>
      </c>
      <c r="D7" s="18">
        <v>1293000000</v>
      </c>
      <c r="E7" s="18">
        <v>1430000000</v>
      </c>
      <c r="F7" s="8" t="s">
        <v>87</v>
      </c>
    </row>
    <row r="8" spans="1:6" x14ac:dyDescent="0.25">
      <c r="A8" t="s">
        <v>88</v>
      </c>
      <c r="B8" s="18">
        <v>767000000</v>
      </c>
      <c r="C8" s="18">
        <v>644000000</v>
      </c>
      <c r="D8" s="18">
        <v>799000000</v>
      </c>
      <c r="E8" s="18">
        <v>1004000000</v>
      </c>
      <c r="F8" s="8" t="s">
        <v>89</v>
      </c>
    </row>
    <row r="9" spans="1:6" x14ac:dyDescent="0.25">
      <c r="A9" t="s">
        <v>90</v>
      </c>
      <c r="B9" s="18">
        <v>-3038000000</v>
      </c>
      <c r="C9" s="18">
        <v>4499000000</v>
      </c>
      <c r="D9" s="18">
        <v>-3546000000</v>
      </c>
      <c r="E9" s="18">
        <v>-2317000000</v>
      </c>
      <c r="F9" s="8" t="s">
        <v>91</v>
      </c>
    </row>
    <row r="10" spans="1:6" x14ac:dyDescent="0.25">
      <c r="A10" t="s">
        <v>92</v>
      </c>
      <c r="B10" s="18">
        <v>18162000000</v>
      </c>
      <c r="C10" s="18">
        <v>19429000000</v>
      </c>
      <c r="D10" s="18">
        <v>18877000000</v>
      </c>
      <c r="E10" s="18">
        <v>21333000000</v>
      </c>
      <c r="F10" s="8" t="s">
        <v>93</v>
      </c>
    </row>
    <row r="11" spans="1:6" x14ac:dyDescent="0.25">
      <c r="A11" t="s">
        <v>94</v>
      </c>
      <c r="B11" s="18">
        <v>20320000000</v>
      </c>
      <c r="C11" s="18">
        <v>16685000000</v>
      </c>
      <c r="D11" s="18">
        <v>19652000000</v>
      </c>
      <c r="E11" s="18">
        <v>14395000000</v>
      </c>
      <c r="F11" s="8" t="s">
        <v>95</v>
      </c>
    </row>
    <row r="12" spans="1:6" x14ac:dyDescent="0.25">
      <c r="A12" t="s">
        <v>32</v>
      </c>
      <c r="B12" s="34">
        <v>493116000</v>
      </c>
      <c r="C12" s="34">
        <v>523744000</v>
      </c>
      <c r="D12" s="34">
        <v>545704000</v>
      </c>
      <c r="E12" s="34">
        <v>582040000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2026-09-19T00:07:15Z</dcterms:modified>
</cp:coreProperties>
</file>