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<sst xmlns="http://schemas.openxmlformats.org/spreadsheetml/2006/main" count="121" uniqueCount="108">
  <si>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Centene Corporation (CNC)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</si>
  <si>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</si>
  <si>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</si>
  <si>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</si>
  <si>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</si>
  <si>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</si>
  <si>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</si>
  <si>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</si>
  <si>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</si>
  <si>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</si>
  <si>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</si>
  <si>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</si>
  <si>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</si>
  <si>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</si>
  <si>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</si>
  <si>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</si>
  <si>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</si>
  <si>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</si>
  <si>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</si>
  <si>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</si>
  <si>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</si>
  <si>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</si>
  <si>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</si>
  <si>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</si>
  <si>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D rating at -0.5x interest cover, capped at 200bp because one year's cover is too noisy to charge more. Book interest / average debt was lower, at 3.6%.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</si>
  <si>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</si>
  <si>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</si>
  <si>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</si>
  <si>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</si>
  <si>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</si>
  <si>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</si>
  <si>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</si>
  <si>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</si>
  <si>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</si>
  <si>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</si>
  <si>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</si>
  <si>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</si>
  <si>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</si>
  <si>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</si>
  <si>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</si>
  <si>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</si>
  <si>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</si>
  <si>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</si>
  <si>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</si>
  <si>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</si>
  <si>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</si>
  <si>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</si>
  <si>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</si>
  <si>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</si>
  <si>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</si>
  <si>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</si>
  <si>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</si>
  <si>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</si>
  <si>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</si>
  <si>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</si>
  <si>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</si>
  <si>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</si>
  <si>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</si>
  <si>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</si>
  <si>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</si>
  <si>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</si>
  <si>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</si>
  <si>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</si>
  <si>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</si>
  <si>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</si>
  <si>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</si>
  <si>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</si>
  <si>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</si>
  <si>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</si>
  <si>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</si>
  <si>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</si>
  <si>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</si>
  <si>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</si>
  <si>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</si>
  <si>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</si>
  <si>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</si>
  <si>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</si>
  <si>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</si>
  <si>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</si>
  <si>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</si>
  <si>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</si>
  <si>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</si>
  <si>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</si>
  <si>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</si>
  <si>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</si>
  <si>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</si>
  <si>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</si>
  <si>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</si>
  <si>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</si>
  <si>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</si>
  <si>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</si>
  <si>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</si>
  <si>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</si>
  <si>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</si>
  <si>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</si>
  <si>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</si>
  <si>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</si>
  <si>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</si>
  <si>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</si>
  <si>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</si>
  <si>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</si>
  <si>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</si>
  <si>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</si>
  <si>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</si>
  <si>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</si>
  <si>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0.50%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</si>
  <si>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32.9x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</si>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</sst>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0.026224656401936608</v>
      </c>
    </row>
    <row r="7" spans="1:2" x14ac:dyDescent="0.25">
      <c r="A7" t="s">
        <v>4</v>
      </c>
      <c r="B7" s="5">
        <v>0.016390891918670956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0.008111315972096337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0.02507644706169155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0.08080570647439336</v>
      </c>
      <c r="C14" s="6" t="s">
        <v>13</v>
      </c>
    </row>
    <row r="15" spans="1:3" x14ac:dyDescent="0.25">
      <c r="A15" t="s">
        <v>14</v>
      </c>
      <c r="B15" s="5">
        <v>0.008111315972096337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1.0871</v>
      </c>
      <c r="C19" s="6" t="s">
        <v>21</v>
      </c>
    </row>
    <row r="20" spans="1:2" x14ac:dyDescent="0.25">
      <c r="A20" t="s">
        <v>22</v>
      </c>
      <c r="B20" s="9">
        <f>B17+B19*B18</f>
        <v>0.09492433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33887404032</v>
      </c>
    </row>
    <row r="23" spans="1:2" x14ac:dyDescent="0.25">
      <c r="A23" t="s">
        <v>26</v>
      </c>
      <c r="B23" s="10">
        <v>18162000000</v>
      </c>
    </row>
    <row r="24" spans="1:2" x14ac:dyDescent="0.25">
      <c r="A24" t="s">
        <v>27</v>
      </c>
      <c r="B24" s="9">
        <f>B22/(B22+B23)</f>
        <v>0.6510622871141043</v>
      </c>
    </row>
    <row r="25" spans="1:2" x14ac:dyDescent="0.25">
      <c r="A25" t="s">
        <v>28</v>
      </c>
      <c r="B25" s="9">
        <f>1-B24</f>
        <v>0.3489377128858957</v>
      </c>
    </row>
    <row r="26" spans="1:2" x14ac:dyDescent="0.25">
      <c r="A26" t="s">
        <v>29</v>
      </c>
      <c r="B26" s="11">
        <f>B24*B20+B25*B21*(1-B8)</f>
        <v>0.08080570647439336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194777000000</v>
      </c>
      <c r="C29" s="6" t="s">
        <v>32</v>
      </c>
    </row>
    <row r="30" spans="1:2" x14ac:dyDescent="0.25">
      <c r="A30" t="s">
        <v>33</v>
      </c>
      <c r="B30" s="10">
        <v>-2158000000</v>
      </c>
    </row>
    <row r="31" spans="1:2" x14ac:dyDescent="0.25">
      <c r="A31" t="s">
        <v>34</v>
      </c>
      <c r="B31" s="12">
        <v>493116000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0.026224656401936608</v>
      </c>
      <c r="C5" s="5">
        <v>-0.0240666716115443</v>
      </c>
      <c r="D5" s="5">
        <v>-0.017933337660101262</v>
      </c>
      <c r="E5" s="5">
        <v>-0.011800003708658224</v>
      </c>
      <c r="F5" s="5">
        <v>-0.0056666697572151856</v>
      </c>
      <c r="G5" s="5">
        <v>0.00046666419422785113</v>
      </c>
      <c r="H5" s="5">
        <v>0.006599998145670888</v>
      </c>
      <c r="I5" s="5">
        <v>0.012733332097113928</v>
      </c>
      <c r="J5" s="5">
        <v>0.01886666604855696</v>
      </c>
      <c r="K5" s="5">
        <v>0.025</v>
      </c>
    </row>
    <row r="6" spans="1:11" x14ac:dyDescent="0.25">
      <c r="A6" t="s">
        <v>50</v>
      </c>
      <c r="B6" s="18">
        <f>Assumptions!B29*(1+B5)</f>
        <v>199884959900</v>
      </c>
      <c r="C6" s="18">
        <f>B6*(1+C5)</f>
        <v>195074394210</v>
      </c>
      <c r="D6" s="18">
        <f>C6*(1+D5)</f>
        <v>191576059229.79236</v>
      </c>
      <c r="E6" s="18">
        <f>D6*(1+E5)</f>
        <v>189315461020.3907</v>
      </c>
      <c r="F6" s="18">
        <f>E6*(1+F5)</f>
        <v>188242672822.85318</v>
      </c>
      <c r="G6" s="18">
        <f>F6*(1+G5)</f>
        <v>188330518938.08536</v>
      </c>
      <c r="H6" s="18">
        <f>G6*(1+H5)</f>
        <v>189573500013.84995</v>
      </c>
      <c r="I6" s="18">
        <f>H6*(1+I5)</f>
        <v>191987402346.33853</v>
      </c>
      <c r="J6" s="18">
        <f>I6*(1+J5)</f>
        <v>195609564551.93686</v>
      </c>
      <c r="K6" s="18">
        <f>J6*(1+K5)</f>
        <v>200499803665.73526</v>
      </c>
    </row>
    <row r="7" spans="1:11" x14ac:dyDescent="0.25">
      <c r="A7" t="s">
        <v>4</v>
      </c>
      <c r="B7" s="9">
        <f>Assumptions!B7</f>
        <v>0.016390891918670956</v>
      </c>
      <c r="C7" s="9">
        <f>Assumptions!B7</f>
        <v>0.016390891918670956</v>
      </c>
      <c r="D7" s="9">
        <f>Assumptions!B7</f>
        <v>0.016390891918670956</v>
      </c>
      <c r="E7" s="9">
        <f>Assumptions!B7</f>
        <v>0.016390891918670956</v>
      </c>
      <c r="F7" s="9">
        <f>Assumptions!B7</f>
        <v>0.016390891918670956</v>
      </c>
      <c r="G7" s="9">
        <f>Assumptions!B7</f>
        <v>0.016390891918670956</v>
      </c>
      <c r="H7" s="9">
        <f>Assumptions!B7</f>
        <v>0.016390891918670956</v>
      </c>
      <c r="I7" s="9">
        <f>Assumptions!B7</f>
        <v>0.016390891918670956</v>
      </c>
      <c r="J7" s="9">
        <f>Assumptions!B7</f>
        <v>0.016390891918670956</v>
      </c>
      <c r="K7" s="9">
        <f>Assumptions!B7</f>
        <v>0.016390891918670956</v>
      </c>
    </row>
    <row r="8" spans="1:11" x14ac:dyDescent="0.25">
      <c r="A8" t="s">
        <v>51</v>
      </c>
      <c r="B8" s="18">
        <f>B6*B7</f>
        <v>3276292773.888778</v>
      </c>
      <c r="C8" s="18">
        <f>C6*C7</f>
        <v>3197443311.5963216</v>
      </c>
      <c r="D8" s="18">
        <f>D6*D7</f>
        <v>3140102481.040432</v>
      </c>
      <c r="E8" s="18">
        <f>E6*E7</f>
        <v>3103049260.118588</v>
      </c>
      <c r="F8" s="18">
        <f>F6*F7</f>
        <v>3085465304.721125</v>
      </c>
      <c r="G8" s="18">
        <f>G6*G7</f>
        <v>3086905180.901371</v>
      </c>
      <c r="H8" s="18">
        <f>H6*H7</f>
        <v>3107278749.3711815</v>
      </c>
      <c r="I8" s="18">
        <f>I6*I7</f>
        <v>3146844761.60523</v>
      </c>
      <c r="J8" s="18">
        <f>J6*J7</f>
        <v>3206215230.829087</v>
      </c>
      <c r="K8" s="18">
        <f>K6*K7</f>
        <v>3286370611.5998135</v>
      </c>
    </row>
    <row r="9" spans="1:11" x14ac:dyDescent="0.25">
      <c r="A9" t="s">
        <v>52</v>
      </c>
      <c r="B9" s="18">
        <f>B8*(1-Assumptions!B8)</f>
        <v>2588271291.3721347</v>
      </c>
      <c r="C9" s="18">
        <f>C8*(1-Assumptions!B8)</f>
        <v>2525980216.161094</v>
      </c>
      <c r="D9" s="18">
        <f>D8*(1-Assumptions!B8)</f>
        <v>2480680960.021941</v>
      </c>
      <c r="E9" s="18">
        <f>E8*(1-Assumptions!B8)</f>
        <v>2451408915.493685</v>
      </c>
      <c r="F9" s="18">
        <f>F8*(1-Assumptions!B8)</f>
        <v>2437517590.729689</v>
      </c>
      <c r="G9" s="18">
        <f>G8*(1-Assumptions!B8)</f>
        <v>2438655092.912083</v>
      </c>
      <c r="H9" s="18">
        <f>H8*(1-Assumptions!B8)</f>
        <v>2454750212.0032334</v>
      </c>
      <c r="I9" s="18">
        <f>I8*(1-Assumptions!B8)</f>
        <v>2486007361.668132</v>
      </c>
      <c r="J9" s="18">
        <f>J8*(1-Assumptions!B8)</f>
        <v>2532910032.3549786</v>
      </c>
      <c r="K9" s="18">
        <f>K8*(1-Assumptions!B8)</f>
        <v>2596232783.1638527</v>
      </c>
    </row>
    <row r="10" spans="1:11" x14ac:dyDescent="0.25">
      <c r="A10" t="s">
        <v>53</v>
      </c>
      <c r="B10" s="18">
        <f>B6*Assumptions!B9</f>
        <v>1621330067.8187058</v>
      </c>
      <c r="C10" s="18">
        <f>C6*Assumptions!B9</f>
        <v>1582310049.5025902</v>
      </c>
      <c r="D10" s="18">
        <f>D6*Assumptions!B9</f>
        <v>1553933949.1018887</v>
      </c>
      <c r="E10" s="18">
        <f>E6*Assumptions!B9</f>
        <v>1535597522.7394764</v>
      </c>
      <c r="F10" s="18">
        <f>F6*Assumptions!B9</f>
        <v>1526895798.698114</v>
      </c>
      <c r="G10" s="18">
        <f>G6*Assumptions!B9</f>
        <v>1527608346.2956834</v>
      </c>
      <c r="H10" s="18">
        <f>H6*Assumptions!B9</f>
        <v>1537690558.548546</v>
      </c>
      <c r="I10" s="18">
        <f>I6*Assumptions!B9</f>
        <v>1557270483.0931413</v>
      </c>
      <c r="J10" s="18">
        <f>J6*Assumptions!B9</f>
        <v>1586650985.2449348</v>
      </c>
      <c r="K10" s="18">
        <f>K6*Assumptions!B9</f>
        <v>1626317259.876058</v>
      </c>
    </row>
    <row r="11" spans="1:11" x14ac:dyDescent="0.25">
      <c r="A11" t="s">
        <v>54</v>
      </c>
      <c r="B11" s="18">
        <f>-B6*B19</f>
        <v>-1998849599</v>
      </c>
      <c r="C11" s="18">
        <f>-C6*C19</f>
        <v>-1996639964.2167604</v>
      </c>
      <c r="D11" s="18">
        <f>-D6*D19</f>
        <v>-2005906498.8076937</v>
      </c>
      <c r="E11" s="18">
        <f>-E6*E19</f>
        <v>-2026777886.9218588</v>
      </c>
      <c r="F11" s="18">
        <f>-F6*F19</f>
        <v>-2059581498.5444174</v>
      </c>
      <c r="G11" s="18">
        <f>-G6*G19</f>
        <v>-2104851992.0108895</v>
      </c>
      <c r="H11" s="18">
        <f>-H6*H19</f>
        <v>-2163345813.4783874</v>
      </c>
      <c r="I11" s="18">
        <f>-I6*I19</f>
        <v>-2236062145.945463</v>
      </c>
      <c r="J11" s="18">
        <f>-J6*J19</f>
        <v>-2324271117.7450457</v>
      </c>
      <c r="K11" s="18">
        <f>-K6*K19</f>
        <v>-2429550378.0675864</v>
      </c>
    </row>
    <row r="12" spans="1:11" x14ac:dyDescent="0.25">
      <c r="A12" t="s">
        <v>55</v>
      </c>
      <c r="B12" s="18">
        <f>-(B6-Assumptions!B29)*Assumptions!B11</f>
        <v>-128089486.02559327</v>
      </c>
      <c r="C12" s="18">
        <f>-(C6-B6)*Assumptions!B11</f>
        <v>120631895.86207469</v>
      </c>
      <c r="D12" s="18">
        <f>-(D6-C6)*Assumptions!B11</f>
        <v>87725811.93524069</v>
      </c>
      <c r="E12" s="18">
        <f>-(E6-D6)*Assumptions!B11</f>
        <v>56687771.325815745</v>
      </c>
      <c r="F12" s="18">
        <f>-(F6-E6)*Assumptions!B11</f>
        <v>26901716.44395677</v>
      </c>
      <c r="G12" s="18">
        <f>-(G6-F6)*Assumptions!B11</f>
        <v>-2202868.458194961</v>
      </c>
      <c r="H12" s="18">
        <f>-(H6-G6)*Assumptions!B11</f>
        <v>-31169549.145095088</v>
      </c>
      <c r="I12" s="18">
        <f>-(I6-H6)*Assumptions!B11</f>
        <v>-60532094.05274379</v>
      </c>
      <c r="J12" s="18">
        <f>-(J6-I6)*Assumptions!B11</f>
        <v>-90830958.79754637</v>
      </c>
      <c r="K12" s="18">
        <f>-(K6-J6)*Assumptions!B11</f>
        <v>-122629822.25617899</v>
      </c>
    </row>
    <row r="13" spans="1:11" x14ac:dyDescent="0.25">
      <c r="A13" s="19" t="s">
        <v>56</v>
      </c>
      <c r="B13" s="20">
        <f>B9+B10+B11+B12</f>
        <v>2082662274.1652474</v>
      </c>
      <c r="C13" s="20">
        <f>C9+C10+C11+C12</f>
        <v>2232282197.3089986</v>
      </c>
      <c r="D13" s="20">
        <f>D9+D10+D11+D12</f>
        <v>2116434222.2513769</v>
      </c>
      <c r="E13" s="20">
        <f>E9+E10+E11+E12</f>
        <v>2016916322.6371179</v>
      </c>
      <c r="F13" s="20">
        <f>F9+F10+F11+F12</f>
        <v>1931733607.3273425</v>
      </c>
      <c r="G13" s="20">
        <f>G9+G10+G11+G12</f>
        <v>1859208578.738682</v>
      </c>
      <c r="H13" s="20">
        <f>H9+H10+H11+H12</f>
        <v>1797925407.9282973</v>
      </c>
      <c r="I13" s="20">
        <f>I9+I10+I11+I12</f>
        <v>1746683604.7630663</v>
      </c>
      <c r="J13" s="20">
        <f>J9+J10+J11+J12</f>
        <v>1704458941.0573215</v>
      </c>
      <c r="K13" s="20">
        <f>K9+K10+K11+K12</f>
        <v>1670369842.7161453</v>
      </c>
    </row>
    <row r="14" spans="1:11" x14ac:dyDescent="0.25">
      <c r="A14" t="s">
        <v>57</v>
      </c>
      <c r="B14" s="21">
        <f>1/(1+Assumptions!$B$26)^(1-0.5*Assumptions!$B$32)</f>
        <v>0.9618917181418906</v>
      </c>
      <c r="C14" s="21">
        <f>1/(1+Assumptions!$B$26)^(2-0.5*Assumptions!$B$32)</f>
        <v>0.8899765354492786</v>
      </c>
      <c r="D14" s="21">
        <f>1/(1+Assumptions!$B$26)^(3-0.5*Assumptions!$B$32)</f>
        <v>0.8234380426731804</v>
      </c>
      <c r="E14" s="21">
        <f>1/(1+Assumptions!$B$26)^(4-0.5*Assumptions!$B$32)</f>
        <v>0.761874255234319</v>
      </c>
      <c r="F14" s="21">
        <f>1/(1+Assumptions!$B$26)^(5-0.5*Assumptions!$B$32)</f>
        <v>0.70491324265817</v>
      </c>
      <c r="G14" s="21">
        <f>1/(1+Assumptions!$B$26)^(6-0.5*Assumptions!$B$32)</f>
        <v>0.6522108816001804</v>
      </c>
      <c r="H14" s="21">
        <f>1/(1+Assumptions!$B$26)^(7-0.5*Assumptions!$B$32)</f>
        <v>0.6034487768645332</v>
      </c>
      <c r="I14" s="21">
        <f>1/(1+Assumptions!$B$26)^(8-0.5*Assumptions!$B$32)</f>
        <v>0.5583323378565361</v>
      </c>
      <c r="J14" s="21">
        <f>1/(1+Assumptions!$B$26)^(9-0.5*Assumptions!$B$32)</f>
        <v>0.5165889988477445</v>
      </c>
      <c r="K14" s="21">
        <f>1/(1+Assumptions!$B$26)^(10-0.5*Assumptions!$B$32)</f>
        <v>0.47796657230175676</v>
      </c>
    </row>
    <row r="15" spans="1:11" x14ac:dyDescent="0.25">
      <c r="A15" s="19" t="s">
        <v>58</v>
      </c>
      <c r="B15" s="20">
        <f>B13*B14</f>
        <v>2003295593.206107</v>
      </c>
      <c r="C15" s="20">
        <f>C13*C14</f>
        <v>1986678776.1061654</v>
      </c>
      <c r="D15" s="20">
        <f>D13*D14</f>
        <v>1742752453.4172087</v>
      </c>
      <c r="E15" s="20">
        <f>E13*E14</f>
        <v>1536636621.1790955</v>
      </c>
      <c r="F15" s="20">
        <f>F13*F14</f>
        <v>1361704601.0928812</v>
      </c>
      <c r="G15" s="20">
        <f>G13*G14</f>
        <v>1212596066.2177742</v>
      </c>
      <c r="H15" s="20">
        <f>H13*H14</f>
        <v>1084955888.307998</v>
      </c>
      <c r="I15" s="20">
        <f>I13*I14</f>
        <v>975229940.5430448</v>
      </c>
      <c r="J15" s="20">
        <f>J13*J14</f>
        <v>880504737.9378884</v>
      </c>
      <c r="K15" s="20">
        <f>K13*K14</f>
        <v>798380948.1992605</v>
      </c>
    </row>
    <row r="17" spans="1:2" x14ac:dyDescent="0.25">
      <c r="A17" s="22" t="s">
        <v>59</v>
      </c>
      <c r="B17" s="23">
        <f>SUM(B15:K15)</f>
        <v>13582735626.207424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0.010235274456714974</v>
      </c>
      <c r="D19" s="9">
        <f>Assumptions!$B$10+($B$20-Assumptions!$B$10)*2/9</f>
        <v>0.010470548913429948</v>
      </c>
      <c r="E19" s="9">
        <f>Assumptions!$B$10+($B$20-Assumptions!$B$10)*3/9</f>
        <v>0.010705823370144923</v>
      </c>
      <c r="F19" s="9">
        <f>Assumptions!$B$10+($B$20-Assumptions!$B$10)*4/9</f>
        <v>0.010941097826859897</v>
      </c>
      <c r="G19" s="9">
        <f>Assumptions!$B$10+($B$20-Assumptions!$B$10)*5/9</f>
        <v>0.01117637228357487</v>
      </c>
      <c r="H19" s="9">
        <f>Assumptions!$B$10+($B$20-Assumptions!$B$10)*6/9</f>
        <v>0.011411646740289844</v>
      </c>
      <c r="I19" s="9">
        <f>Assumptions!$B$10+($B$20-Assumptions!$B$10)*7/9</f>
        <v>0.01164692119700482</v>
      </c>
      <c r="J19" s="9">
        <f>Assumptions!$B$10+($B$20-Assumptions!$B$10)*8/9</f>
        <v>0.011882195653719793</v>
      </c>
      <c r="K19" s="9">
        <f>Assumptions!$B$10+($B$20-Assumptions!$B$10)*9/9</f>
        <v>0.012117470110434767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0.012117470110434767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1670369842.7161453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2596232783.1638527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0.3093840904407201</v>
      </c>
    </row>
    <row r="7" spans="1:2" x14ac:dyDescent="0.25">
      <c r="A7" t="s">
        <v>66</v>
      </c>
      <c r="B7" s="18">
        <f>-MAX(B5,0)*B6</f>
        <v>-803233118.191528</v>
      </c>
    </row>
    <row r="8" spans="1:2" x14ac:dyDescent="0.25">
      <c r="A8" t="s">
        <v>67</v>
      </c>
      <c r="B8" s="18">
        <f>IF(OR(Assumptions!$B$33=0,Assumptions!B12&lt;=0),B5,MAX(B5+B7,0))</f>
        <v>1792999664.9723248</v>
      </c>
    </row>
    <row r="9" spans="1:2" x14ac:dyDescent="0.25">
      <c r="A9" t="s">
        <v>68</v>
      </c>
      <c r="B9" s="18">
        <f>B8*(1+Assumptions!B12)/(Assumptions!B26-Assumptions!B12)</f>
        <v>32932557845.852642</v>
      </c>
    </row>
    <row r="10" spans="1:2" x14ac:dyDescent="0.25">
      <c r="A10" t="s">
        <v>69</v>
      </c>
      <c r="B10" s="18">
        <f>B9/(1+Assumptions!B26)^(10-0.5*Assumptions!B32)</f>
        <v>15740661790.711514</v>
      </c>
    </row>
    <row r="11" spans="1:2" x14ac:dyDescent="0.25">
      <c r="A11" t="s">
        <v>70</v>
      </c>
      <c r="B11" s="18">
        <f>Forecast!B17+B10</f>
        <v>29323397416.918938</v>
      </c>
    </row>
    <row r="12" spans="1:2" x14ac:dyDescent="0.25">
      <c r="A12" t="s">
        <v>71</v>
      </c>
      <c r="B12" s="18">
        <f>-Assumptions!B30</f>
        <v>2158000000</v>
      </c>
    </row>
    <row r="13" spans="1:2" x14ac:dyDescent="0.25">
      <c r="A13" t="s">
        <v>72</v>
      </c>
      <c r="B13" s="18">
        <f>B11+B12</f>
        <v>31481397416.918938</v>
      </c>
    </row>
    <row r="14" spans="1:2" x14ac:dyDescent="0.25">
      <c r="A14" s="19" t="s">
        <v>73</v>
      </c>
      <c r="B14" s="24">
        <f>B13/Assumptions!B31</f>
        <v>63.84176829978937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4912687871.475872</v>
      </c>
    </row>
    <row r="18" spans="1:2" x14ac:dyDescent="0.25">
      <c r="A18" t="s">
        <v>68</v>
      </c>
      <c r="B18" s="18">
        <f>B17*Assumptions!B13</f>
        <v>98253757429.51744</v>
      </c>
    </row>
    <row r="19" spans="1:2" x14ac:dyDescent="0.25">
      <c r="A19" t="s">
        <v>69</v>
      </c>
      <c r="B19" s="18">
        <f>B18/(1+Assumptions!B26)^(10-0.5*Assumptions!B32)</f>
        <v>46962011654.35472</v>
      </c>
    </row>
    <row r="20" spans="1:2" x14ac:dyDescent="0.25">
      <c r="A20" t="s">
        <v>70</v>
      </c>
      <c r="B20" s="18">
        <f>Forecast!B17+B19</f>
        <v>60544747280.56215</v>
      </c>
    </row>
    <row r="21" spans="1:2" x14ac:dyDescent="0.25">
      <c r="A21" t="s">
        <v>71</v>
      </c>
      <c r="B21" s="18">
        <f>-Assumptions!B30</f>
        <v>2158000000</v>
      </c>
    </row>
    <row r="22" spans="1:2" x14ac:dyDescent="0.25">
      <c r="A22" t="s">
        <v>72</v>
      </c>
      <c r="B22" s="18">
        <f>B20+B21</f>
        <v>62702747280.56215</v>
      </c>
    </row>
    <row r="23" spans="1:2" x14ac:dyDescent="0.25">
      <c r="A23" s="19" t="s">
        <v>73</v>
      </c>
      <c r="B23" s="25">
        <f>B22/Assumptions!B31</f>
        <v>127.15618085919368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68.45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63.84176829978937</v>
      </c>
    </row>
    <row r="29" spans="1:2" x14ac:dyDescent="0.25">
      <c r="A29" s="19" t="s">
        <v>81</v>
      </c>
      <c r="B29" s="11">
        <f>B28/B26-1</f>
        <v>-0.06732259605859214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0.060806</v>
      </c>
      <c r="B5" s="31">
        <v>85.97849551793199</v>
      </c>
      <c r="C5" s="31">
        <v>85.09717951213766</v>
      </c>
      <c r="D5" s="31">
        <v>84.28320853347039</v>
      </c>
      <c r="E5" s="31">
        <v>83.56937409679438</v>
      </c>
      <c r="F5" s="31">
        <v>83.01388158573619</v>
      </c>
    </row>
    <row r="6" spans="1:6" x14ac:dyDescent="0.25">
      <c r="A6" s="30">
        <v>0.070806</v>
      </c>
      <c r="B6" s="31">
        <v>73.97360097441124</v>
      </c>
      <c r="C6" s="31">
        <v>73.0352572943216</v>
      </c>
      <c r="D6" s="31">
        <v>72.09691361423195</v>
      </c>
      <c r="E6" s="31">
        <v>71.1585699341423</v>
      </c>
      <c r="F6" s="31">
        <v>70.22022625405265</v>
      </c>
    </row>
    <row r="7" spans="1:6" x14ac:dyDescent="0.25">
      <c r="A7" s="30">
        <v>0.080806</v>
      </c>
      <c r="B7" s="31">
        <v>65.39845776939694</v>
      </c>
      <c r="C7" s="31">
        <v>64.6200069575481</v>
      </c>
      <c r="D7" s="32">
        <v>63.84155614569923</v>
      </c>
      <c r="E7" s="31">
        <v>63.06310533385037</v>
      </c>
      <c r="F7" s="31">
        <v>62.28465452200151</v>
      </c>
    </row>
    <row r="8" spans="1:6" x14ac:dyDescent="0.25">
      <c r="A8" s="30">
        <v>0.090806</v>
      </c>
      <c r="B8" s="31">
        <v>58.7274774316722</v>
      </c>
      <c r="C8" s="31">
        <v>58.07106226680589</v>
      </c>
      <c r="D8" s="31">
        <v>57.414647101939565</v>
      </c>
      <c r="E8" s="31">
        <v>56.75823193707327</v>
      </c>
      <c r="F8" s="31">
        <v>56.101816772206945</v>
      </c>
    </row>
    <row r="9" spans="1:6" x14ac:dyDescent="0.25">
      <c r="A9" s="30">
        <v>0.100806</v>
      </c>
      <c r="B9" s="31">
        <v>53.39254180320016</v>
      </c>
      <c r="C9" s="31">
        <v>52.83176040826869</v>
      </c>
      <c r="D9" s="31">
        <v>52.27097901333721</v>
      </c>
      <c r="E9" s="31">
        <v>51.71019761840573</v>
      </c>
      <c r="F9" s="31">
        <v>51.14941622347425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194777000000</v>
      </c>
      <c r="C5" s="18">
        <v>163071000000</v>
      </c>
      <c r="D5" s="18">
        <v>153999000000</v>
      </c>
      <c r="E5" s="18">
        <v>144547000000</v>
      </c>
      <c r="F5" s="6" t="s">
        <v>91</v>
      </c>
    </row>
    <row r="6" spans="1:6" x14ac:dyDescent="0.25">
      <c r="A6" t="s">
        <v>51</v>
      </c>
      <c r="B6" s="18">
        <v>-312000000</v>
      </c>
      <c r="C6" s="18">
        <v>3188000000</v>
      </c>
      <c r="D6" s="18">
        <v>3459000000</v>
      </c>
      <c r="E6" s="18">
        <v>3636000000</v>
      </c>
      <c r="F6" s="6" t="s">
        <v>92</v>
      </c>
    </row>
    <row r="7" spans="1:6" x14ac:dyDescent="0.25">
      <c r="A7" t="s">
        <v>93</v>
      </c>
      <c r="B7" s="18">
        <v>1275000000</v>
      </c>
      <c r="C7" s="18">
        <v>1241000000</v>
      </c>
      <c r="D7" s="18">
        <v>1293000000</v>
      </c>
      <c r="E7" s="18">
        <v>1430000000</v>
      </c>
      <c r="F7" s="6" t="s">
        <v>94</v>
      </c>
    </row>
    <row r="8" spans="1:6" x14ac:dyDescent="0.25">
      <c r="A8" t="s">
        <v>95</v>
      </c>
      <c r="B8" s="18">
        <v>767000000</v>
      </c>
      <c r="C8" s="18">
        <v>644000000</v>
      </c>
      <c r="D8" s="18">
        <v>799000000</v>
      </c>
      <c r="E8" s="18">
        <v>1004000000</v>
      </c>
      <c r="F8" s="6" t="s">
        <v>96</v>
      </c>
    </row>
    <row r="9" spans="1:6" x14ac:dyDescent="0.25">
      <c r="A9" t="s">
        <v>97</v>
      </c>
      <c r="B9" s="18">
        <v>-3038000000</v>
      </c>
      <c r="C9" s="18">
        <v>4499000000</v>
      </c>
      <c r="D9" s="18">
        <v>-3546000000</v>
      </c>
      <c r="E9" s="18">
        <v>-2317000000</v>
      </c>
      <c r="F9" s="6" t="s">
        <v>98</v>
      </c>
    </row>
    <row r="10" spans="1:6" x14ac:dyDescent="0.25">
      <c r="A10" t="s">
        <v>99</v>
      </c>
      <c r="B10" s="18">
        <v>18162000000</v>
      </c>
      <c r="C10" s="18">
        <v>19429000000</v>
      </c>
      <c r="D10" s="18">
        <v>18877000000</v>
      </c>
      <c r="E10" s="18">
        <v>21333000000</v>
      </c>
      <c r="F10" s="6" t="s">
        <v>100</v>
      </c>
    </row>
    <row r="11" spans="1:6" x14ac:dyDescent="0.25">
      <c r="A11" t="s">
        <v>101</v>
      </c>
      <c r="B11" s="18">
        <v>20320000000</v>
      </c>
      <c r="C11" s="18">
        <v>16685000000</v>
      </c>
      <c r="D11" s="18">
        <v>19652000000</v>
      </c>
      <c r="E11" s="18">
        <v>14395000000</v>
      </c>
      <c r="F11" s="6" t="s">
        <v>102</v>
      </c>
    </row>
    <row r="12" spans="1:6" x14ac:dyDescent="0.25">
      <c r="A12" t="s">
        <v>34</v>
      </c>
      <c r="B12" s="34">
        <v>493116000</v>
      </c>
      <c r="C12" s="34">
        <v>523744000</v>
      </c>
      <c r="D12" s="34">
        <v>545704000</v>
      </c>
      <c r="E12" s="34">
        <v>582040000</v>
      </c>
      <c r="F12" s="6" t="s">
        <v>103</v>
      </c>
    </row>
    <row r="15" spans="1:1" x14ac:dyDescent="0.25">
      <c r="A15" s="19" t="s">
        <v>104</v>
      </c>
    </row>
    <row r="16" ht="86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