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<sst xmlns="http://schemas.openxmlformats.org/spreadsheetml/2006/main" count="121" uniqueCount="108">
  <si>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CenterPoint Energy, Inc. (CNP)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</si>
  <si>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</si>
  <si>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</si>
  <si>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</si>
  <si>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</si>
  <si>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</si>
  <si>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</si>
  <si>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</si>
  <si>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</si>
  <si>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</si>
  <si>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</si>
  <si>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</si>
  <si>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</si>
  <si>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</si>
  <si>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</si>
  <si>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</si>
  <si>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</si>
  <si>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</si>
  <si>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</si>
  <si>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</si>
  <si>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</si>
  <si>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</si>
  <si>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</si>
  <si>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</si>
  <si>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+ 138bp, the spread for a BB+ rating at 2.3x interest cover. Book interest / average debt was lower, at 4.1%.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</si>
  <si>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</si>
  <si>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</si>
  <si>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</si>
  <si>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</si>
  <si>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</si>
  <si>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</si>
  <si>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</si>
  <si>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</si>
  <si>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</si>
  <si>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</si>
  <si>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</si>
  <si>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</si>
  <si>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</si>
  <si>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</si>
  <si>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</si>
  <si>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</si>
  <si>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</si>
  <si>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</si>
  <si>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</si>
  <si>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</si>
  <si>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</si>
  <si>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</si>
  <si>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</si>
  <si>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</si>
  <si>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</si>
  <si>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</si>
  <si>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</si>
  <si>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</si>
  <si>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</si>
  <si>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</si>
  <si>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</si>
  <si>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</si>
  <si>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</si>
  <si>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</si>
  <si>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</si>
  <si>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</si>
  <si>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</si>
  <si>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</si>
  <si>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</si>
  <si>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</si>
  <si>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</si>
  <si>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</si>
  <si>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</si>
  <si>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</si>
  <si>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</si>
  <si>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</si>
  <si>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</si>
  <si>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</si>
  <si>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</si>
  <si>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</si>
  <si>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</si>
  <si>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</si>
  <si>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</si>
  <si>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</si>
  <si>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</si>
  <si>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</si>
  <si>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</si>
  <si>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</si>
  <si>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</si>
  <si>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</si>
  <si>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</si>
  <si>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</si>
  <si>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</si>
  <si>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</si>
  <si>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</si>
  <si>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</si>
  <si>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</si>
  <si>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</si>
  <si>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</si>
  <si>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</si>
  <si>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</si>
  <si>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</si>
  <si>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</si>
  <si>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</si>
  <si>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</si>
  <si>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</si>
  <si>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</si>
  <si>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</si>
  <si>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</si>
  <si>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</si>
  <si>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</si>
  <si>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50.6% of revenue against depreciation of 15.7%.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</si>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</sst>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0.06620356952014528</v>
      </c>
    </row>
    <row r="7" spans="1:2" x14ac:dyDescent="0.25">
      <c r="A7" t="s">
        <v>4</v>
      </c>
      <c r="B7" s="5">
        <v>0.20653584574040576</v>
      </c>
    </row>
    <row r="8" spans="1:2" x14ac:dyDescent="0.25">
      <c r="A8" t="s">
        <v>5</v>
      </c>
      <c r="B8" s="5">
        <v>0.15850988695213314</v>
      </c>
    </row>
    <row r="9" spans="1:2" x14ac:dyDescent="0.25">
      <c r="A9" t="s">
        <v>6</v>
      </c>
      <c r="B9" s="5">
        <v>0.15732455417137475</v>
      </c>
    </row>
    <row r="10" spans="1:3" x14ac:dyDescent="0.25">
      <c r="A10" t="s">
        <v>7</v>
      </c>
      <c r="B10" s="5">
        <v>0.5057020347208642</v>
      </c>
      <c r="C10" s="6" t="s">
        <v>8</v>
      </c>
    </row>
    <row r="11" spans="1:2" x14ac:dyDescent="0.25">
      <c r="A11" t="s">
        <v>9</v>
      </c>
      <c r="B11" s="5">
        <v>0.03487202670840276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13.891376386813187</v>
      </c>
    </row>
    <row r="14" spans="1:3" x14ac:dyDescent="0.25">
      <c r="A14" t="s">
        <v>12</v>
      </c>
      <c r="B14" s="5">
        <v>0.0655162745500543</v>
      </c>
      <c r="C14" s="6" t="s">
        <v>13</v>
      </c>
    </row>
    <row r="15" spans="1:3" x14ac:dyDescent="0.25">
      <c r="A15" t="s">
        <v>14</v>
      </c>
      <c r="B15" s="5">
        <v>0.12616623187401232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0.6375299999999999</v>
      </c>
      <c r="C19" s="6" t="s">
        <v>21</v>
      </c>
    </row>
    <row r="20" spans="1:2" x14ac:dyDescent="0.25">
      <c r="A20" t="s">
        <v>22</v>
      </c>
      <c r="B20" s="9">
        <f>B17+B19*B18</f>
        <v>0.075907519</v>
      </c>
    </row>
    <row r="21" spans="1:3" x14ac:dyDescent="0.25">
      <c r="A21" t="s">
        <v>23</v>
      </c>
      <c r="B21" s="5">
        <v>0.06274</v>
      </c>
      <c r="C21" s="6" t="s">
        <v>24</v>
      </c>
    </row>
    <row r="22" spans="1:2" x14ac:dyDescent="0.25">
      <c r="A22" t="s">
        <v>25</v>
      </c>
      <c r="B22" s="10">
        <v>28132610048</v>
      </c>
    </row>
    <row r="23" spans="1:2" x14ac:dyDescent="0.25">
      <c r="A23" t="s">
        <v>26</v>
      </c>
      <c r="B23" s="10">
        <v>22980000000</v>
      </c>
    </row>
    <row r="24" spans="1:2" x14ac:dyDescent="0.25">
      <c r="A24" t="s">
        <v>27</v>
      </c>
      <c r="B24" s="9">
        <f>B22/(B22+B23)</f>
        <v>0.5504044896470868</v>
      </c>
    </row>
    <row r="25" spans="1:2" x14ac:dyDescent="0.25">
      <c r="A25" t="s">
        <v>28</v>
      </c>
      <c r="B25" s="9">
        <f>1-B24</f>
        <v>0.44959551035291323</v>
      </c>
    </row>
    <row r="26" spans="1:2" x14ac:dyDescent="0.25">
      <c r="A26" t="s">
        <v>29</v>
      </c>
      <c r="B26" s="11">
        <f>B24*B20+B25*B21*(1-B8)</f>
        <v>0.0655162745500543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9357000000</v>
      </c>
      <c r="C29" s="6" t="s">
        <v>32</v>
      </c>
    </row>
    <row r="30" spans="1:2" x14ac:dyDescent="0.25">
      <c r="A30" t="s">
        <v>33</v>
      </c>
      <c r="B30" s="10">
        <v>22432000000</v>
      </c>
    </row>
    <row r="31" spans="1:2" x14ac:dyDescent="0.25">
      <c r="A31" t="s">
        <v>34</v>
      </c>
      <c r="B31" s="12">
        <v>656000000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0.06620356952014528</v>
      </c>
      <c r="C5" s="5">
        <v>0.048484533622664916</v>
      </c>
      <c r="D5" s="5">
        <v>0.045548966919831804</v>
      </c>
      <c r="E5" s="5">
        <v>0.042613400216998686</v>
      </c>
      <c r="F5" s="5">
        <v>0.039677833514165574</v>
      </c>
      <c r="G5" s="5">
        <v>0.036742266811332455</v>
      </c>
      <c r="H5" s="5">
        <v>0.033806700108499343</v>
      </c>
      <c r="I5" s="5">
        <v>0.030871133405666232</v>
      </c>
      <c r="J5" s="5">
        <v>0.027935566702833117</v>
      </c>
      <c r="K5" s="5">
        <v>0.025</v>
      </c>
    </row>
    <row r="6" spans="1:11" x14ac:dyDescent="0.25">
      <c r="A6" t="s">
        <v>50</v>
      </c>
      <c r="B6" s="18">
        <f>Assumptions!B29*(1+B5)</f>
        <v>9976466800</v>
      </c>
      <c r="C6" s="18">
        <f>B6*(1+C5)</f>
        <v>10460171140</v>
      </c>
      <c r="D6" s="18">
        <f>C6*(1+D5)</f>
        <v>10936621129.23164</v>
      </c>
      <c r="E6" s="18">
        <f>D6*(1+E5)</f>
        <v>11402667742.433271</v>
      </c>
      <c r="F6" s="18">
        <f>E6*(1+F5)</f>
        <v>11855100894.734886</v>
      </c>
      <c r="G6" s="18">
        <f>F6*(1+G5)</f>
        <v>12290684174.8845</v>
      </c>
      <c r="H6" s="18">
        <f>G6*(1+H5)</f>
        <v>12706191648.9131</v>
      </c>
      <c r="I6" s="18">
        <f>H6*(1+I5)</f>
        <v>13098446186.384657</v>
      </c>
      <c r="J6" s="18">
        <f>I6*(1+J5)</f>
        <v>13464358703.527876</v>
      </c>
      <c r="K6" s="18">
        <f>J6*(1+K5)</f>
        <v>13800967671.116072</v>
      </c>
    </row>
    <row r="7" spans="1:11" x14ac:dyDescent="0.25">
      <c r="A7" t="s">
        <v>4</v>
      </c>
      <c r="B7" s="9">
        <f>Assumptions!B7</f>
        <v>0.20653584574040576</v>
      </c>
      <c r="C7" s="9">
        <f>Assumptions!B7</f>
        <v>0.20653584574040576</v>
      </c>
      <c r="D7" s="9">
        <f>Assumptions!B7</f>
        <v>0.20653584574040576</v>
      </c>
      <c r="E7" s="9">
        <f>Assumptions!B7</f>
        <v>0.20653584574040576</v>
      </c>
      <c r="F7" s="9">
        <f>Assumptions!B7</f>
        <v>0.20653584574040576</v>
      </c>
      <c r="G7" s="9">
        <f>Assumptions!B7</f>
        <v>0.20653584574040576</v>
      </c>
      <c r="H7" s="9">
        <f>Assumptions!B7</f>
        <v>0.20653584574040576</v>
      </c>
      <c r="I7" s="9">
        <f>Assumptions!B7</f>
        <v>0.20653584574040576</v>
      </c>
      <c r="J7" s="9">
        <f>Assumptions!B7</f>
        <v>0.20653584574040576</v>
      </c>
      <c r="K7" s="9">
        <f>Assumptions!B7</f>
        <v>0.20653584574040576</v>
      </c>
    </row>
    <row r="8" spans="1:11" x14ac:dyDescent="0.25">
      <c r="A8" t="s">
        <v>51</v>
      </c>
      <c r="B8" s="18">
        <f>B6*B7</f>
        <v>2060498008.0390794</v>
      </c>
      <c r="C8" s="18">
        <f>C6*C7</f>
        <v>2160400292.989284</v>
      </c>
      <c r="D8" s="18">
        <f>D6*D7</f>
        <v>2258804294.4682484</v>
      </c>
      <c r="E8" s="18">
        <f>E6*E7</f>
        <v>2355059625.880299</v>
      </c>
      <c r="F8" s="18">
        <f>F6*F7</f>
        <v>2448503289.631911</v>
      </c>
      <c r="G8" s="18">
        <f>G6*G7</f>
        <v>2538466850.7879915</v>
      </c>
      <c r="H8" s="18">
        <f>H6*H7</f>
        <v>2624284038.3479476</v>
      </c>
      <c r="I8" s="18">
        <f>I6*I7</f>
        <v>2705298660.9901476</v>
      </c>
      <c r="J8" s="18">
        <f>J6*J7</f>
        <v>2780872712.185323</v>
      </c>
      <c r="K8" s="18">
        <f>K6*K7</f>
        <v>2850394529.989956</v>
      </c>
    </row>
    <row r="9" spans="1:11" x14ac:dyDescent="0.25">
      <c r="A9" t="s">
        <v>52</v>
      </c>
      <c r="B9" s="18">
        <f>B8*(1-Assumptions!B8)</f>
        <v>1733888701.7197096</v>
      </c>
      <c r="C9" s="18">
        <f>C8*(1-Assumptions!B8)</f>
        <v>1817955486.7761974</v>
      </c>
      <c r="D9" s="18">
        <f>D8*(1-Assumptions!B8)</f>
        <v>1900761481.1050935</v>
      </c>
      <c r="E9" s="18">
        <f>E8*(1-Assumptions!B8)</f>
        <v>1981759390.8164802</v>
      </c>
      <c r="F9" s="18">
        <f>F8*(1-Assumptions!B8)</f>
        <v>2060391309.9904306</v>
      </c>
      <c r="G9" s="18">
        <f>G8*(1-Assumptions!B8)</f>
        <v>2136094757.2378497</v>
      </c>
      <c r="H9" s="18">
        <f>H8*(1-Assumptions!B8)</f>
        <v>2208309072.0991273</v>
      </c>
      <c r="I9" s="18">
        <f>I8*(1-Assumptions!B8)</f>
        <v>2276482076.064842</v>
      </c>
      <c r="J9" s="18">
        <f>J8*(1-Assumptions!B8)</f>
        <v>2340076892.948556</v>
      </c>
      <c r="K9" s="18">
        <f>K8*(1-Assumptions!B8)</f>
        <v>2398578815.2722692</v>
      </c>
    </row>
    <row r="10" spans="1:11" x14ac:dyDescent="0.25">
      <c r="A10" t="s">
        <v>53</v>
      </c>
      <c r="B10" s="18">
        <f>B6*Assumptions!B9</f>
        <v>1569543191.5155218</v>
      </c>
      <c r="C10" s="18">
        <f>C6*Assumptions!B9</f>
        <v>1645641761.1567807</v>
      </c>
      <c r="D10" s="18">
        <f>D6*Assumptions!B9</f>
        <v>1720599043.2976048</v>
      </c>
      <c r="E10" s="18">
        <f>E6*Assumptions!B9</f>
        <v>1793919618.9426308</v>
      </c>
      <c r="F10" s="18">
        <f>F6*Assumptions!B9</f>
        <v>1865098462.920832</v>
      </c>
      <c r="G10" s="18">
        <f>G6*Assumptions!B9</f>
        <v>1933626408.274875</v>
      </c>
      <c r="H10" s="18">
        <f>H6*Assumptions!B9</f>
        <v>1998995936.3812983</v>
      </c>
      <c r="I10" s="18">
        <f>I6*Assumptions!B9</f>
        <v>2060707206.61071</v>
      </c>
      <c r="J10" s="18">
        <f>J6*Assumptions!B9</f>
        <v>2118274230.2359924</v>
      </c>
      <c r="K10" s="18">
        <f>K6*Assumptions!B9</f>
        <v>2171231085.991892</v>
      </c>
    </row>
    <row r="11" spans="1:11" x14ac:dyDescent="0.25">
      <c r="A11" t="s">
        <v>54</v>
      </c>
      <c r="B11" s="18">
        <f>-B6*B19</f>
        <v>-5045119560.085149</v>
      </c>
      <c r="C11" s="18">
        <f>-C6*C19</f>
        <v>-4937324003.313471</v>
      </c>
      <c r="D11" s="18">
        <f>-D6*D19</f>
        <v>-4793756464.00214</v>
      </c>
      <c r="E11" s="18">
        <f>-E6*E19</f>
        <v>-4613875950.820997</v>
      </c>
      <c r="F11" s="18">
        <f>-F6*F19</f>
        <v>-4397543188.774058</v>
      </c>
      <c r="G11" s="18">
        <f>-G6*G19</f>
        <v>-4145042618.575286</v>
      </c>
      <c r="H11" s="18">
        <f>-H6*H19</f>
        <v>-3857098003.5003695</v>
      </c>
      <c r="I11" s="18">
        <f>-I6*I19</f>
        <v>-3534881007.58994</v>
      </c>
      <c r="J11" s="18">
        <f>-J6*J19</f>
        <v>-3180012243.0752506</v>
      </c>
      <c r="K11" s="18">
        <f>-K6*K19</f>
        <v>-2794554438.746115</v>
      </c>
    </row>
    <row r="12" spans="1:11" x14ac:dyDescent="0.25">
      <c r="A12" t="s">
        <v>55</v>
      </c>
      <c r="B12" s="18">
        <f>-(B6-Assumptions!B29)*Assumptions!B11</f>
        <v>-21602062.794568792</v>
      </c>
      <c r="C12" s="18">
        <f>-(C6-B6)*Assumptions!B11</f>
        <v>-16867750.66345033</v>
      </c>
      <c r="D12" s="18">
        <f>-(D6-C6)*Assumptions!B11</f>
        <v>-16614776.749703953</v>
      </c>
      <c r="E12" s="18">
        <f>-(E6-D6)*Assumptions!B11</f>
        <v>-16251989.942927945</v>
      </c>
      <c r="F12" s="18">
        <f>-(F6-E6)*Assumptions!B11</f>
        <v>-15777260.970828764</v>
      </c>
      <c r="G12" s="18">
        <f>-(G6-F6)*Assumptions!B11</f>
        <v>-15189671.779111033</v>
      </c>
      <c r="H12" s="18">
        <f>-(H6-G6)*Assumptions!B11</f>
        <v>-14489587.731866263</v>
      </c>
      <c r="I12" s="18">
        <f>-(I6-H6)*Assumptions!B11</f>
        <v>-13678710.707200328</v>
      </c>
      <c r="J12" s="18">
        <f>-(J6-I6)*Assumptions!B11</f>
        <v>-12760111.070757216</v>
      </c>
      <c r="K12" s="18">
        <f>-(K6-J6)*Assumptions!B11</f>
        <v>-11738236.908023443</v>
      </c>
    </row>
    <row r="13" spans="1:11" x14ac:dyDescent="0.25">
      <c r="A13" s="19" t="s">
        <v>56</v>
      </c>
      <c r="B13" s="20">
        <f>B9+B10+B11+B12</f>
        <v>-1763289729.6444862</v>
      </c>
      <c r="C13" s="20">
        <f>C9+C10+C11+C12</f>
        <v>-1490594506.043943</v>
      </c>
      <c r="D13" s="20">
        <f>D9+D10+D11+D12</f>
        <v>-1189010716.3491454</v>
      </c>
      <c r="E13" s="20">
        <f>E9+E10+E11+E12</f>
        <v>-854448931.0048143</v>
      </c>
      <c r="F13" s="20">
        <f>F9+F10+F11+F12</f>
        <v>-487830676.8336246</v>
      </c>
      <c r="G13" s="20">
        <f>G9+G10+G11+G12</f>
        <v>-90511124.84167206</v>
      </c>
      <c r="H13" s="20">
        <f>H9+H10+H11+H12</f>
        <v>335717417.24819005</v>
      </c>
      <c r="I13" s="20">
        <f>I9+I10+I11+I12</f>
        <v>788629564.378412</v>
      </c>
      <c r="J13" s="20">
        <f>J9+J10+J11+J12</f>
        <v>1265578769.0385406</v>
      </c>
      <c r="K13" s="20">
        <f>K9+K10+K11+K12</f>
        <v>1763517225.6100225</v>
      </c>
    </row>
    <row r="14" spans="1:11" x14ac:dyDescent="0.25">
      <c r="A14" t="s">
        <v>57</v>
      </c>
      <c r="B14" s="21">
        <f>1/(1+Assumptions!$B$26)^(1-0.5*Assumptions!$B$32)</f>
        <v>0.9687683822504825</v>
      </c>
      <c r="C14" s="21">
        <f>1/(1+Assumptions!$B$26)^(2-0.5*Assumptions!$B$32)</f>
        <v>0.9092009248376554</v>
      </c>
      <c r="D14" s="21">
        <f>1/(1+Assumptions!$B$26)^(3-0.5*Assumptions!$B$32)</f>
        <v>0.8532961406165216</v>
      </c>
      <c r="E14" s="21">
        <f>1/(1+Assumptions!$B$26)^(4-0.5*Assumptions!$B$32)</f>
        <v>0.8008288197914676</v>
      </c>
      <c r="F14" s="21">
        <f>1/(1+Assumptions!$B$26)^(5-0.5*Assumptions!$B$32)</f>
        <v>0.751587600226605</v>
      </c>
      <c r="G14" s="21">
        <f>1/(1+Assumptions!$B$26)^(6-0.5*Assumptions!$B$32)</f>
        <v>0.7053741159833385</v>
      </c>
      <c r="H14" s="21">
        <f>1/(1+Assumptions!$B$26)^(7-0.5*Assumptions!$B$32)</f>
        <v>0.6620021982125084</v>
      </c>
      <c r="I14" s="21">
        <f>1/(1+Assumptions!$B$26)^(8-0.5*Assumptions!$B$32)</f>
        <v>0.6212971251819296</v>
      </c>
      <c r="J14" s="21">
        <f>1/(1+Assumptions!$B$26)^(9-0.5*Assumptions!$B$32)</f>
        <v>0.5830949184181073</v>
      </c>
      <c r="K14" s="21">
        <f>1/(1+Assumptions!$B$26)^(10-0.5*Assumptions!$B$32)</f>
        <v>0.5472416821266632</v>
      </c>
    </row>
    <row r="15" spans="1:11" x14ac:dyDescent="0.25">
      <c r="A15" s="19" t="s">
        <v>58</v>
      </c>
      <c r="B15" s="20">
        <f>B13*B14</f>
        <v>-1708219338.8265796</v>
      </c>
      <c r="C15" s="20">
        <f>C13*C14</f>
        <v>-1355249903.453081</v>
      </c>
      <c r="D15" s="20">
        <f>D13*D14</f>
        <v>-1014578255.4124115</v>
      </c>
      <c r="E15" s="20">
        <f>E13*E14</f>
        <v>-684267328.9886665</v>
      </c>
      <c r="F15" s="20">
        <f>F13*F14</f>
        <v>-366647487.7183044</v>
      </c>
      <c r="G15" s="20">
        <f>G13*G14</f>
        <v>-63844204.67185202</v>
      </c>
      <c r="H15" s="20">
        <f>H13*H14</f>
        <v>222245668.1965277</v>
      </c>
      <c r="I15" s="20">
        <f>I13*I14</f>
        <v>489973281.18178487</v>
      </c>
      <c r="J15" s="20">
        <f>J13*J14</f>
        <v>737952549.0842166</v>
      </c>
      <c r="K15" s="20">
        <f>K13*K14</f>
        <v>965070133.002175</v>
      </c>
    </row>
    <row r="17" spans="1:2" x14ac:dyDescent="0.25">
      <c r="A17" s="22" t="s">
        <v>59</v>
      </c>
      <c r="B17" s="23">
        <f>SUM(B15:K15)</f>
        <v>-2777564887.6061916</v>
      </c>
    </row>
    <row r="19" spans="1:11" x14ac:dyDescent="0.25">
      <c r="A19" t="s">
        <v>7</v>
      </c>
      <c r="B19" s="9">
        <f>Assumptions!$B$10+($B$20-Assumptions!$B$10)*0/9</f>
        <v>0.5057020347208642</v>
      </c>
      <c r="C19" s="9">
        <f>Assumptions!$B$10+($B$20-Assumptions!$B$10)*1/9</f>
        <v>0.4720117804223106</v>
      </c>
      <c r="D19" s="9">
        <f>Assumptions!$B$10+($B$20-Assumptions!$B$10)*2/9</f>
        <v>0.43832152612375713</v>
      </c>
      <c r="E19" s="9">
        <f>Assumptions!$B$10+($B$20-Assumptions!$B$10)*3/9</f>
        <v>0.4046312718252036</v>
      </c>
      <c r="F19" s="9">
        <f>Assumptions!$B$10+($B$20-Assumptions!$B$10)*4/9</f>
        <v>0.3709410175266501</v>
      </c>
      <c r="G19" s="9">
        <f>Assumptions!$B$10+($B$20-Assumptions!$B$10)*5/9</f>
        <v>0.33725076322809655</v>
      </c>
      <c r="H19" s="9">
        <f>Assumptions!$B$10+($B$20-Assumptions!$B$10)*6/9</f>
        <v>0.303560508929543</v>
      </c>
      <c r="I19" s="9">
        <f>Assumptions!$B$10+($B$20-Assumptions!$B$10)*7/9</f>
        <v>0.26987025463098946</v>
      </c>
      <c r="J19" s="9">
        <f>Assumptions!$B$10+($B$20-Assumptions!$B$10)*8/9</f>
        <v>0.23618000033243597</v>
      </c>
      <c r="K19" s="9">
        <f>Assumptions!$B$10+($B$20-Assumptions!$B$10)*9/9</f>
        <v>0.20248974603388242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0.20248974603388242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1763517225.6100225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2760432185.150804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0.38158457836151927</v>
      </c>
    </row>
    <row r="7" spans="1:2" x14ac:dyDescent="0.25">
      <c r="A7" t="s">
        <v>66</v>
      </c>
      <c r="B7" s="18">
        <f>-MAX(B5,0)*B6</f>
        <v>-1053338351.4663368</v>
      </c>
    </row>
    <row r="8" spans="1:2" x14ac:dyDescent="0.25">
      <c r="A8" t="s">
        <v>67</v>
      </c>
      <c r="B8" s="18">
        <f>IF(OR(Assumptions!$B$33=0,Assumptions!B12&lt;=0),B5,MAX(B5+B7,0))</f>
        <v>1707093833.6844673</v>
      </c>
    </row>
    <row r="9" spans="1:2" x14ac:dyDescent="0.25">
      <c r="A9" t="s">
        <v>68</v>
      </c>
      <c r="B9" s="18">
        <f>B8*(1+Assumptions!B12)/(Assumptions!B26-Assumptions!B12)</f>
        <v>43186872410.119804</v>
      </c>
    </row>
    <row r="10" spans="1:2" x14ac:dyDescent="0.25">
      <c r="A10" t="s">
        <v>69</v>
      </c>
      <c r="B10" s="18">
        <f>B9/(1+Assumptions!B26)^(10-0.5*Assumptions!B32)</f>
        <v>23633656703.503544</v>
      </c>
    </row>
    <row r="11" spans="1:2" x14ac:dyDescent="0.25">
      <c r="A11" t="s">
        <v>70</v>
      </c>
      <c r="B11" s="18">
        <f>Forecast!B17+B10</f>
        <v>20856091815.897354</v>
      </c>
    </row>
    <row r="12" spans="1:2" x14ac:dyDescent="0.25">
      <c r="A12" t="s">
        <v>71</v>
      </c>
      <c r="B12" s="18">
        <f>-Assumptions!B30</f>
        <v>-22432000000</v>
      </c>
    </row>
    <row r="13" spans="1:2" x14ac:dyDescent="0.25">
      <c r="A13" t="s">
        <v>72</v>
      </c>
      <c r="B13" s="18">
        <f>B11+B12</f>
        <v>-1575908184.1026459</v>
      </c>
    </row>
    <row r="14" spans="1:2" x14ac:dyDescent="0.25">
      <c r="A14" s="19" t="s">
        <v>73</v>
      </c>
      <c r="B14" s="24">
        <f>B13/Assumptions!B31</f>
        <v>-2.4022990611320822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5021625615.981848</v>
      </c>
    </row>
    <row r="18" spans="1:2" x14ac:dyDescent="0.25">
      <c r="A18" t="s">
        <v>68</v>
      </c>
      <c r="B18" s="18">
        <f>B17*Assumptions!B13</f>
        <v>69757291505.26646</v>
      </c>
    </row>
    <row r="19" spans="1:2" x14ac:dyDescent="0.25">
      <c r="A19" t="s">
        <v>69</v>
      </c>
      <c r="B19" s="18">
        <f>B18/(1+Assumptions!B26)^(10-0.5*Assumptions!B32)</f>
        <v>38174097543.94202</v>
      </c>
    </row>
    <row r="20" spans="1:2" x14ac:dyDescent="0.25">
      <c r="A20" t="s">
        <v>70</v>
      </c>
      <c r="B20" s="18">
        <f>Forecast!B17+B19</f>
        <v>35396532656.33582</v>
      </c>
    </row>
    <row r="21" spans="1:2" x14ac:dyDescent="0.25">
      <c r="A21" t="s">
        <v>71</v>
      </c>
      <c r="B21" s="18">
        <f>-Assumptions!B30</f>
        <v>-22432000000</v>
      </c>
    </row>
    <row r="22" spans="1:2" x14ac:dyDescent="0.25">
      <c r="A22" t="s">
        <v>72</v>
      </c>
      <c r="B22" s="18">
        <f>B20+B21</f>
        <v>12964532656.335823</v>
      </c>
    </row>
    <row r="23" spans="1:2" x14ac:dyDescent="0.25">
      <c r="A23" s="19" t="s">
        <v>73</v>
      </c>
      <c r="B23" s="25">
        <f>B22/Assumptions!B31</f>
        <v>19.7630070980729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42.44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-2.4022990611320822</v>
      </c>
    </row>
    <row r="29" spans="1:2" x14ac:dyDescent="0.25">
      <c r="A29" s="19" t="s">
        <v>81</v>
      </c>
      <c r="B29" s="11">
        <f>B28/B26-1</f>
        <v>-1.056604596162396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0.045516</v>
      </c>
      <c r="B5" s="31">
        <v>28.619933423588638</v>
      </c>
      <c r="C5" s="31">
        <v>29.876456583613173</v>
      </c>
      <c r="D5" s="31">
        <v>32.286627407097285</v>
      </c>
      <c r="E5" s="31">
        <v>36.96572785794235</v>
      </c>
      <c r="F5" s="31">
        <v>47.15015432359744</v>
      </c>
    </row>
    <row r="6" spans="1:6" x14ac:dyDescent="0.25">
      <c r="A6" s="30">
        <v>0.055516</v>
      </c>
      <c r="B6" s="31">
        <v>9.281643818626694</v>
      </c>
      <c r="C6" s="31">
        <v>8.296834008396765</v>
      </c>
      <c r="D6" s="31">
        <v>7.312024198166824</v>
      </c>
      <c r="E6" s="31">
        <v>6.3272143879369</v>
      </c>
      <c r="F6" s="31">
        <v>5.342404577706965</v>
      </c>
    </row>
    <row r="7" spans="1:6" x14ac:dyDescent="0.25">
      <c r="A7" s="30">
        <v>0.065516</v>
      </c>
      <c r="B7" s="31">
        <v>-0.8259495933551323</v>
      </c>
      <c r="C7" s="31">
        <v>-1.614012733690105</v>
      </c>
      <c r="D7" s="32">
        <v>-2.402075874025089</v>
      </c>
      <c r="E7" s="31">
        <v>-3.1901390143600614</v>
      </c>
      <c r="F7" s="31">
        <v>-3.9782021546950457</v>
      </c>
    </row>
    <row r="8" spans="1:6" x14ac:dyDescent="0.25">
      <c r="A8" s="30">
        <v>0.075516</v>
      </c>
      <c r="B8" s="31">
        <v>-8.078272791635648</v>
      </c>
      <c r="C8" s="31">
        <v>-8.724509176591198</v>
      </c>
      <c r="D8" s="31">
        <v>-9.370745561546759</v>
      </c>
      <c r="E8" s="31">
        <v>-10.016981946502314</v>
      </c>
      <c r="F8" s="31">
        <v>-10.663218331457873</v>
      </c>
    </row>
    <row r="9" spans="1:6" x14ac:dyDescent="0.25">
      <c r="A9" s="30">
        <v>0.085516</v>
      </c>
      <c r="B9" s="31">
        <v>-13.488940469638482</v>
      </c>
      <c r="C9" s="31">
        <v>-14.028801552049448</v>
      </c>
      <c r="D9" s="31">
        <v>-14.568662634460424</v>
      </c>
      <c r="E9" s="31">
        <v>-15.108523716871398</v>
      </c>
      <c r="F9" s="31">
        <v>-15.648384799282377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9357000000</v>
      </c>
      <c r="C5" s="18">
        <v>8643000000</v>
      </c>
      <c r="D5" s="18">
        <v>8696000000</v>
      </c>
      <c r="E5" s="18">
        <v>9321000000</v>
      </c>
      <c r="F5" s="6" t="s">
        <v>91</v>
      </c>
    </row>
    <row r="6" spans="1:6" x14ac:dyDescent="0.25">
      <c r="A6" t="s">
        <v>51</v>
      </c>
      <c r="B6" s="18">
        <v>2110000000</v>
      </c>
      <c r="C6" s="18">
        <v>1990000000</v>
      </c>
      <c r="D6" s="18">
        <v>1760000000</v>
      </c>
      <c r="E6" s="18">
        <v>1566000000</v>
      </c>
      <c r="F6" s="6" t="s">
        <v>92</v>
      </c>
    </row>
    <row r="7" spans="1:6" x14ac:dyDescent="0.25">
      <c r="A7" t="s">
        <v>93</v>
      </c>
      <c r="B7" s="18">
        <v>1530000000</v>
      </c>
      <c r="C7" s="18">
        <v>1439000000</v>
      </c>
      <c r="D7" s="18">
        <v>1401000000</v>
      </c>
      <c r="E7" s="18">
        <v>1288000000</v>
      </c>
      <c r="F7" s="6" t="s">
        <v>94</v>
      </c>
    </row>
    <row r="8" spans="1:6" x14ac:dyDescent="0.25">
      <c r="A8" t="s">
        <v>95</v>
      </c>
      <c r="B8" s="18">
        <v>4870000000</v>
      </c>
      <c r="C8" s="18">
        <v>4513000000</v>
      </c>
      <c r="D8" s="18">
        <v>4401000000</v>
      </c>
      <c r="E8" s="18">
        <v>4419000000</v>
      </c>
      <c r="F8" s="6" t="s">
        <v>96</v>
      </c>
    </row>
    <row r="9" spans="1:6" x14ac:dyDescent="0.25">
      <c r="A9" t="s">
        <v>97</v>
      </c>
      <c r="B9" s="18">
        <v>49000000</v>
      </c>
      <c r="C9" s="18">
        <v>518000000</v>
      </c>
      <c r="D9" s="18">
        <v>-1491000000</v>
      </c>
      <c r="E9" s="18">
        <v>198000000</v>
      </c>
      <c r="F9" s="6" t="s">
        <v>98</v>
      </c>
    </row>
    <row r="10" spans="1:6" x14ac:dyDescent="0.25">
      <c r="A10" t="s">
        <v>99</v>
      </c>
      <c r="B10" s="18">
        <v>22980000000</v>
      </c>
      <c r="C10" s="18">
        <v>20963000000</v>
      </c>
      <c r="D10" s="18">
        <v>18618000000</v>
      </c>
      <c r="E10" s="18">
        <v>16856000000</v>
      </c>
      <c r="F10" s="6" t="s">
        <v>100</v>
      </c>
    </row>
    <row r="11" spans="1:6" x14ac:dyDescent="0.25">
      <c r="A11" t="s">
        <v>101</v>
      </c>
      <c r="B11" s="18">
        <v>548000000</v>
      </c>
      <c r="C11" s="18">
        <v>585000000</v>
      </c>
      <c r="D11" s="18">
        <v>631000000</v>
      </c>
      <c r="E11" s="18">
        <v>584000000</v>
      </c>
      <c r="F11" s="6" t="s">
        <v>102</v>
      </c>
    </row>
    <row r="12" spans="1:6" x14ac:dyDescent="0.25">
      <c r="A12" t="s">
        <v>34</v>
      </c>
      <c r="B12" s="34">
        <v>656000000</v>
      </c>
      <c r="C12" s="34">
        <v>644000000</v>
      </c>
      <c r="D12" s="34">
        <v>633000000</v>
      </c>
      <c r="E12" s="34">
        <v>632346000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