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<sst xmlns="http://schemas.openxmlformats.org/spreadsheetml/2006/main" count="113" uniqueCount="101">
  <si>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CenterPoint Energy, Inc. (CNP)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</si>
  <si>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</si>
  <si>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</si>
  <si>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</si>
  <si>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</si>
  <si>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</si>
  <si>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</si>
  <si>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</si>
  <si>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</si>
  <si>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</si>
  <si>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</si>
  <si>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</si>
  <si>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</si>
  <si>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</si>
  <si>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</si>
  <si>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</si>
  <si>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</si>
  <si>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</si>
  <si>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</si>
  <si>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</si>
  <si>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</si>
  <si>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</si>
  <si>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</si>
  <si>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</si>
  <si>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</si>
  <si>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</si>
  <si>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</si>
  <si>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</si>
  <si>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</si>
  <si>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</si>
  <si>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</si>
  <si>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</si>
  <si>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</si>
  <si>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</si>
  <si>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</si>
  <si>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</si>
  <si>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</si>
  <si>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</si>
  <si>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</si>
  <si>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</si>
  <si>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</si>
  <si>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</si>
  <si>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</si>
  <si>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</si>
  <si>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</si>
  <si>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</si>
  <si>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</si>
  <si>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</si>
  <si>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</si>
  <si>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</si>
  <si>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</si>
  <si>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</si>
  <si>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</si>
  <si>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</si>
  <si>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</si>
  <si>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</si>
  <si>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</si>
  <si>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</si>
  <si>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</si>
  <si>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</si>
  <si>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</si>
  <si>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</si>
  <si>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</si>
  <si>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</si>
  <si>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</si>
  <si>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</si>
  <si>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</si>
  <si>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</si>
  <si>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</si>
  <si>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</si>
  <si>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</si>
  <si>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</si>
  <si>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</si>
  <si>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</si>
  <si>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</si>
  <si>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</si>
  <si>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</si>
  <si>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</si>
  <si>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</si>
  <si>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</si>
  <si>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</si>
  <si>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</si>
  <si>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</si>
  <si>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</si>
  <si>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</si>
  <si>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</si>
  <si>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</si>
  <si>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</si>
  <si>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</si>
  <si>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</si>
  <si>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</si>
  <si>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</si>
  <si>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</si>
  <si>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</si>
  <si>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</si>
  <si>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</si>
  <si>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</si>
  <si>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</si>
  <si>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</si>
  <si>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50.6% of revenue against depreciation of 15.7%.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</si>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</sst>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0.0012857616218755474</v>
      </c>
    </row>
    <row r="7" spans="1:2" x14ac:dyDescent="0.25">
      <c r="A7" t="s">
        <v>5</v>
      </c>
      <c r="B7" s="6">
        <v>0.20653584574040576</v>
      </c>
    </row>
    <row r="8" spans="1:2" x14ac:dyDescent="0.25">
      <c r="A8" t="s">
        <v>6</v>
      </c>
      <c r="B8" s="6">
        <v>0.15850988695213314</v>
      </c>
    </row>
    <row r="9" spans="1:2" x14ac:dyDescent="0.25">
      <c r="A9" t="s">
        <v>7</v>
      </c>
      <c r="B9" s="6">
        <v>0.15732455417137475</v>
      </c>
    </row>
    <row r="10" spans="1:2" x14ac:dyDescent="0.25">
      <c r="A10" t="s">
        <v>8</v>
      </c>
      <c r="B10" s="6">
        <v>0.5057020347208642</v>
      </c>
    </row>
    <row r="11" spans="1:2" x14ac:dyDescent="0.25">
      <c r="A11" t="s">
        <v>9</v>
      </c>
      <c r="B11" s="6">
        <v>0.06862745098039216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13.079200351648351</v>
      </c>
    </row>
    <row r="14" spans="1:3" x14ac:dyDescent="0.25">
      <c r="A14" t="s">
        <v>12</v>
      </c>
      <c r="B14" s="6">
        <v>0.06437704377308721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0.63217</v>
      </c>
      <c r="C19" s="8" t="s">
        <v>19</v>
      </c>
    </row>
    <row r="20" spans="1:2" x14ac:dyDescent="0.25">
      <c r="A20" t="s">
        <v>20</v>
      </c>
      <c r="B20" s="10">
        <f>B17+B19*B18</f>
        <v>0.08474935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25176289280</v>
      </c>
    </row>
    <row r="23" spans="1:2" x14ac:dyDescent="0.25">
      <c r="A23" t="s">
        <v>24</v>
      </c>
      <c r="B23" s="11">
        <v>22980000000</v>
      </c>
    </row>
    <row r="24" spans="1:2" x14ac:dyDescent="0.25">
      <c r="A24" t="s">
        <v>25</v>
      </c>
      <c r="B24" s="10">
        <f>B22/(B22+B23)</f>
        <v>0.5228037636707211</v>
      </c>
    </row>
    <row r="25" spans="1:2" x14ac:dyDescent="0.25">
      <c r="A25" t="s">
        <v>26</v>
      </c>
      <c r="B25" s="10">
        <f>1-B24</f>
        <v>0.4771962363292789</v>
      </c>
    </row>
    <row r="26" spans="1:2" x14ac:dyDescent="0.25">
      <c r="A26" t="s">
        <v>27</v>
      </c>
      <c r="B26" s="12">
        <f>B24*B20+B25*B21*(1-B8)</f>
        <v>0.06437704377308721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9357000000</v>
      </c>
      <c r="C29" s="8" t="s">
        <v>30</v>
      </c>
    </row>
    <row r="30" spans="1:2" x14ac:dyDescent="0.25">
      <c r="A30" t="s">
        <v>31</v>
      </c>
      <c r="B30" s="11">
        <v>22432000000</v>
      </c>
    </row>
    <row r="31" spans="1:2" x14ac:dyDescent="0.25">
      <c r="A31" t="s">
        <v>32</v>
      </c>
      <c r="B31" s="13">
        <v>656000000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0.0012857616218755474</v>
      </c>
      <c r="C5" s="10">
        <f>Assumptions!B6</f>
        <v>0.0012857616218755474</v>
      </c>
      <c r="D5" s="10">
        <f>Assumptions!B6</f>
        <v>0.0012857616218755474</v>
      </c>
      <c r="E5" s="10">
        <f>Assumptions!B6</f>
        <v>0.0012857616218755474</v>
      </c>
      <c r="F5" s="10">
        <f>Assumptions!B6</f>
        <v>0.0012857616218755474</v>
      </c>
    </row>
    <row r="6" spans="1:6" x14ac:dyDescent="0.25">
      <c r="A6" t="s">
        <v>43</v>
      </c>
      <c r="B6" s="18">
        <f>Assumptions!B29*(1+B5)</f>
        <v>9369030871.49589</v>
      </c>
      <c r="C6" s="18">
        <f>B6*(1+C5)</f>
        <v>9381077211.824627</v>
      </c>
      <c r="D6" s="18">
        <f>C6*(1+D5)</f>
        <v>9393139040.875443</v>
      </c>
      <c r="E6" s="18">
        <f>D6*(1+E5)</f>
        <v>9405216378.56314</v>
      </c>
      <c r="F6" s="18">
        <f>E6*(1+F5)</f>
        <v>9417309244.828133</v>
      </c>
    </row>
    <row r="7" spans="1:6" x14ac:dyDescent="0.25">
      <c r="A7" t="s">
        <v>5</v>
      </c>
      <c r="B7" s="10">
        <f>Assumptions!B7</f>
        <v>0.20653584574040576</v>
      </c>
      <c r="C7" s="10">
        <f>Assumptions!B7</f>
        <v>0.20653584574040576</v>
      </c>
      <c r="D7" s="10">
        <f>Assumptions!B7</f>
        <v>0.20653584574040576</v>
      </c>
      <c r="E7" s="10">
        <f>Assumptions!B7</f>
        <v>0.20653584574040576</v>
      </c>
      <c r="F7" s="10">
        <f>Assumptions!B7</f>
        <v>0.20653584574040576</v>
      </c>
    </row>
    <row r="8" spans="1:6" x14ac:dyDescent="0.25">
      <c r="A8" t="s">
        <v>44</v>
      </c>
      <c r="B8" s="18">
        <f>B6*B7</f>
        <v>1935040714.8123744</v>
      </c>
      <c r="C8" s="18">
        <f>C6*C7</f>
        <v>1937528715.9002469</v>
      </c>
      <c r="D8" s="18">
        <f>D6*D7</f>
        <v>1940019915.9644332</v>
      </c>
      <c r="E8" s="18">
        <f>E6*E7</f>
        <v>1942514319.1180546</v>
      </c>
      <c r="F8" s="18">
        <f>F6*F7</f>
        <v>1945011929.4795203</v>
      </c>
    </row>
    <row r="9" spans="1:6" x14ac:dyDescent="0.25">
      <c r="A9" t="s">
        <v>45</v>
      </c>
      <c r="B9" s="18">
        <f>B8*(1-Assumptions!B8)</f>
        <v>1628317629.8596902</v>
      </c>
      <c r="C9" s="18">
        <f>C8*(1-Assumptions!B8)</f>
        <v>1630411258.176387</v>
      </c>
      <c r="D9" s="18">
        <f>D8*(1-Assumptions!B8)</f>
        <v>1632507578.4000242</v>
      </c>
      <c r="E9" s="18">
        <f>E8*(1-Assumptions!B8)</f>
        <v>1634606593.991752</v>
      </c>
      <c r="F9" s="18">
        <f>F8*(1-Assumptions!B8)</f>
        <v>1636708308.4171712</v>
      </c>
    </row>
    <row r="10" spans="1:6" x14ac:dyDescent="0.25">
      <c r="A10" t="s">
        <v>46</v>
      </c>
      <c r="B10" s="18">
        <f>B6*Assumptions!B9</f>
        <v>1473978604.8759375</v>
      </c>
      <c r="C10" s="18">
        <f>C6*Assumptions!B9</f>
        <v>1475873789.9975526</v>
      </c>
      <c r="D10" s="18">
        <f>D6*Assumptions!B9</f>
        <v>1477771411.8754637</v>
      </c>
      <c r="E10" s="18">
        <f>E6*Assumptions!B9</f>
        <v>1479671473.642758</v>
      </c>
      <c r="F10" s="18">
        <f>F6*Assumptions!B9</f>
        <v>1481573978.4365518</v>
      </c>
    </row>
    <row r="11" spans="1:6" x14ac:dyDescent="0.25">
      <c r="A11" t="s">
        <v>47</v>
      </c>
      <c r="B11" s="18">
        <f>-B6*Assumptions!B10</f>
        <v>-4737937975.078063</v>
      </c>
      <c r="C11" s="18">
        <f>-C6*Assumptions!B10</f>
        <v>-4744029833.893245</v>
      </c>
      <c r="D11" s="18">
        <f>-D6*Assumptions!B10</f>
        <v>-4750129525.386698</v>
      </c>
      <c r="E11" s="18">
        <f>-E6*Assumptions!B10</f>
        <v>-4756237059.629377</v>
      </c>
      <c r="F11" s="18">
        <f>-F6*Assumptions!B10</f>
        <v>-4762352446.705192</v>
      </c>
    </row>
    <row r="12" spans="1:6" x14ac:dyDescent="0.25">
      <c r="A12" t="s">
        <v>48</v>
      </c>
      <c r="B12" s="18">
        <f>-(B6-Assumptions!B29)*Assumptions!B11</f>
        <v>-825648.0438355652</v>
      </c>
      <c r="C12" s="18">
        <f>-(C6-B6)*Assumptions!B11</f>
        <v>-826709.6304035374</v>
      </c>
      <c r="D12" s="18">
        <f>-(D6-C6)*Assumptions!B11</f>
        <v>-827772.5819187165</v>
      </c>
      <c r="E12" s="18">
        <f>-(E6-D6)*Assumptions!B11</f>
        <v>-828836.9001361623</v>
      </c>
      <c r="F12" s="18">
        <f>-(F6-E6)*Assumptions!B11</f>
        <v>-829902.5868131601</v>
      </c>
    </row>
    <row r="13" spans="1:6" x14ac:dyDescent="0.25">
      <c r="A13" s="19" t="s">
        <v>49</v>
      </c>
      <c r="B13" s="20">
        <f>B9+B10+B11+B12</f>
        <v>-1636467388.386271</v>
      </c>
      <c r="C13" s="20">
        <f>C9+C10+C11+C12</f>
        <v>-1638571495.3497086</v>
      </c>
      <c r="D13" s="20">
        <f>D9+D10+D11+D12</f>
        <v>-1640678307.6931286</v>
      </c>
      <c r="E13" s="20">
        <f>E9+E10+E11+E12</f>
        <v>-1642787828.8950036</v>
      </c>
      <c r="F13" s="20">
        <f>F9+F10+F11+F12</f>
        <v>-1644900062.4382818</v>
      </c>
    </row>
    <row r="14" spans="1:6" x14ac:dyDescent="0.25">
      <c r="A14" t="s">
        <v>50</v>
      </c>
      <c r="B14" s="21">
        <f>1/(1+Assumptions!$B$26)^(1-0.5*Assumptions!$B$32)</f>
        <v>0.9692866927517224</v>
      </c>
      <c r="C14" s="21">
        <f>1/(1+Assumptions!$B$26)^(2-0.5*Assumptions!$B$32)</f>
        <v>0.9106610278963918</v>
      </c>
      <c r="D14" s="21">
        <f>1/(1+Assumptions!$B$26)^(3-0.5*Assumptions!$B$32)</f>
        <v>0.8555812371415012</v>
      </c>
      <c r="E14" s="21">
        <f>1/(1+Assumptions!$B$26)^(4-0.5*Assumptions!$B$32)</f>
        <v>0.8038328542943483</v>
      </c>
      <c r="F14" s="21">
        <f>1/(1+Assumptions!$B$26)^(5-0.5*Assumptions!$B$32)</f>
        <v>0.7552143847868594</v>
      </c>
    </row>
    <row r="15" spans="1:6" x14ac:dyDescent="0.25">
      <c r="A15" s="19" t="s">
        <v>51</v>
      </c>
      <c r="B15" s="20">
        <f>B13*B14</f>
        <v>-1586206062.684977</v>
      </c>
      <c r="C15" s="20">
        <f>C13*C14</f>
        <v>-1492183202.2368934</v>
      </c>
      <c r="D15" s="20">
        <f>D13*D14</f>
        <v>-1403733576.2473116</v>
      </c>
      <c r="E15" s="20">
        <f>E13*E14</f>
        <v>-1320526829.5006862</v>
      </c>
      <c r="F15" s="20">
        <f>F13*F14</f>
        <v>-1242252188.6901937</v>
      </c>
    </row>
    <row r="17" spans="1:2" x14ac:dyDescent="0.25">
      <c r="A17" s="22" t="s">
        <v>52</v>
      </c>
      <c r="B17" s="23">
        <f>SUM(B15:F15)</f>
        <v>-7044901859.360062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-1644900062.4382818</v>
      </c>
    </row>
    <row r="5" spans="1:2" x14ac:dyDescent="0.25">
      <c r="A5" t="s">
        <v>56</v>
      </c>
      <c r="B5" s="18">
        <f>IF(Assumptions!$B$33=0,B4,B4-Forecast!F11-Forecast!F10-Forecast!F12)</f>
        <v>1883624696.2123008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0.38833718566075626</v>
      </c>
    </row>
    <row r="7" spans="1:2" x14ac:dyDescent="0.25">
      <c r="A7" t="s">
        <v>58</v>
      </c>
      <c r="B7" s="18">
        <f>-MAX(Forecast!F9,0)*B6</f>
        <v>-731481513.3681818</v>
      </c>
    </row>
    <row r="8" spans="1:2" x14ac:dyDescent="0.25">
      <c r="A8" t="s">
        <v>59</v>
      </c>
      <c r="B8" s="18">
        <f>IF(OR(Assumptions!$B$33=0,Assumptions!B12&lt;=0),B5,MAX(B5+B7,0))</f>
        <v>1152143182.844119</v>
      </c>
    </row>
    <row r="9" spans="1:2" x14ac:dyDescent="0.25">
      <c r="A9" t="s">
        <v>60</v>
      </c>
      <c r="B9" s="18">
        <f>B8*(1+Assumptions!B12)/(Assumptions!B26-Assumptions!B12)</f>
        <v>29990742048.095455</v>
      </c>
    </row>
    <row r="10" spans="1:2" x14ac:dyDescent="0.25">
      <c r="A10" t="s">
        <v>61</v>
      </c>
      <c r="B10" s="18">
        <f>B9/(1+Assumptions!B26)^(5-0.5*Assumptions!B32)</f>
        <v>22649439805.153805</v>
      </c>
    </row>
    <row r="11" spans="1:2" x14ac:dyDescent="0.25">
      <c r="A11" t="s">
        <v>62</v>
      </c>
      <c r="B11" s="18">
        <f>Forecast!B17+B10</f>
        <v>15604537945.793743</v>
      </c>
    </row>
    <row r="12" spans="1:2" x14ac:dyDescent="0.25">
      <c r="A12" t="s">
        <v>63</v>
      </c>
      <c r="B12" s="18">
        <f>-Assumptions!B30</f>
        <v>-22432000000</v>
      </c>
    </row>
    <row r="13" spans="1:2" x14ac:dyDescent="0.25">
      <c r="A13" t="s">
        <v>64</v>
      </c>
      <c r="B13" s="18">
        <f>B11+B12</f>
        <v>-6827462054.206257</v>
      </c>
    </row>
    <row r="14" spans="1:2" x14ac:dyDescent="0.25">
      <c r="A14" s="19" t="s">
        <v>65</v>
      </c>
      <c r="B14" s="24">
        <f>B13/Assumptions!B31</f>
        <v>-10.407716546046123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3426585907.916072</v>
      </c>
    </row>
    <row r="18" spans="1:2" x14ac:dyDescent="0.25">
      <c r="A18" t="s">
        <v>60</v>
      </c>
      <c r="B18" s="18">
        <f>B17*Assumptions!B13</f>
        <v>44817003611.76917</v>
      </c>
    </row>
    <row r="19" spans="1:2" x14ac:dyDescent="0.25">
      <c r="A19" t="s">
        <v>61</v>
      </c>
      <c r="B19" s="18">
        <f>B18/(1+Assumptions!B26)^(5-0.5*Assumptions!B32)</f>
        <v>33846445810.652714</v>
      </c>
    </row>
    <row r="20" spans="1:2" x14ac:dyDescent="0.25">
      <c r="A20" t="s">
        <v>62</v>
      </c>
      <c r="B20" s="18">
        <f>Forecast!B17+B19</f>
        <v>26801543951.292652</v>
      </c>
    </row>
    <row r="21" spans="1:2" x14ac:dyDescent="0.25">
      <c r="A21" t="s">
        <v>63</v>
      </c>
      <c r="B21" s="18">
        <f>-Assumptions!B30</f>
        <v>-22432000000</v>
      </c>
    </row>
    <row r="22" spans="1:2" x14ac:dyDescent="0.25">
      <c r="A22" t="s">
        <v>64</v>
      </c>
      <c r="B22" s="18">
        <f>B20+B21</f>
        <v>4369543951.292652</v>
      </c>
    </row>
    <row r="23" spans="1:2" x14ac:dyDescent="0.25">
      <c r="A23" s="19" t="s">
        <v>65</v>
      </c>
      <c r="B23" s="25">
        <f>B22/Assumptions!B31</f>
        <v>6.660890169653433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-10.407716546046123</v>
      </c>
    </row>
    <row r="29" spans="1:2" x14ac:dyDescent="0.25">
      <c r="A29" s="19" t="s">
        <v>73</v>
      </c>
      <c r="B29" s="12">
        <f>B28/B26-1</f>
        <v>-1.2723107416547914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0.044377</v>
      </c>
      <c r="B5" s="31">
        <v>12.713334159625663</v>
      </c>
      <c r="C5" s="31">
        <v>15.517593340739488</v>
      </c>
      <c r="D5" s="31">
        <v>19.652292364660124</v>
      </c>
      <c r="E5" s="31">
        <v>26.505523158917867</v>
      </c>
      <c r="F5" s="31">
        <v>40.4260088284563</v>
      </c>
    </row>
    <row r="6" spans="1:6" x14ac:dyDescent="0.25">
      <c r="A6" s="30">
        <v>0.054377</v>
      </c>
      <c r="B6" s="31">
        <v>-2.945314427474836</v>
      </c>
      <c r="C6" s="31">
        <v>-2.737266381913185</v>
      </c>
      <c r="D6" s="31">
        <v>-2.5292183363515286</v>
      </c>
      <c r="E6" s="31">
        <v>-2.3211702907898775</v>
      </c>
      <c r="F6" s="31">
        <v>-2.1131222452282326</v>
      </c>
    </row>
    <row r="7" spans="1:6" x14ac:dyDescent="0.25">
      <c r="A7" s="30">
        <v>0.064377</v>
      </c>
      <c r="B7" s="31">
        <v>-10.744532754061193</v>
      </c>
      <c r="C7" s="31">
        <v>-10.576110242184017</v>
      </c>
      <c r="D7" s="32">
        <v>-10.407687730306847</v>
      </c>
      <c r="E7" s="31">
        <v>-10.239265218429665</v>
      </c>
      <c r="F7" s="31">
        <v>-10.070842706552499</v>
      </c>
    </row>
    <row r="8" spans="1:6" x14ac:dyDescent="0.25">
      <c r="A8" s="30">
        <v>0.074377</v>
      </c>
      <c r="B8" s="31">
        <v>-16.325551451760948</v>
      </c>
      <c r="C8" s="31">
        <v>-16.185780564355326</v>
      </c>
      <c r="D8" s="31">
        <v>-16.046009676949723</v>
      </c>
      <c r="E8" s="31">
        <v>-15.906238789544112</v>
      </c>
      <c r="F8" s="31">
        <v>-15.766467902138501</v>
      </c>
    </row>
    <row r="9" spans="1:6" x14ac:dyDescent="0.25">
      <c r="A9" s="30">
        <v>0.084377</v>
      </c>
      <c r="B9" s="31">
        <v>-20.48330596806361</v>
      </c>
      <c r="C9" s="31">
        <v>-20.3651311010997</v>
      </c>
      <c r="D9" s="31">
        <v>-20.246956234135798</v>
      </c>
      <c r="E9" s="31">
        <v>-20.128781367171886</v>
      </c>
      <c r="F9" s="31">
        <v>-20.01060650020798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9357000000</v>
      </c>
      <c r="C5" s="18">
        <v>8643000000</v>
      </c>
      <c r="D5" s="18">
        <v>8696000000</v>
      </c>
      <c r="E5" s="18">
        <v>9321000000</v>
      </c>
      <c r="F5" s="8" t="s">
        <v>84</v>
      </c>
    </row>
    <row r="6" spans="1:6" x14ac:dyDescent="0.25">
      <c r="A6" t="s">
        <v>44</v>
      </c>
      <c r="B6" s="18">
        <v>2110000000</v>
      </c>
      <c r="C6" s="18">
        <v>1990000000</v>
      </c>
      <c r="D6" s="18">
        <v>1760000000</v>
      </c>
      <c r="E6" s="18">
        <v>1566000000</v>
      </c>
      <c r="F6" s="8" t="s">
        <v>85</v>
      </c>
    </row>
    <row r="7" spans="1:6" x14ac:dyDescent="0.25">
      <c r="A7" t="s">
        <v>86</v>
      </c>
      <c r="B7" s="18">
        <v>1530000000</v>
      </c>
      <c r="C7" s="18">
        <v>1439000000</v>
      </c>
      <c r="D7" s="18">
        <v>1401000000</v>
      </c>
      <c r="E7" s="18">
        <v>1288000000</v>
      </c>
      <c r="F7" s="8" t="s">
        <v>87</v>
      </c>
    </row>
    <row r="8" spans="1:6" x14ac:dyDescent="0.25">
      <c r="A8" t="s">
        <v>88</v>
      </c>
      <c r="B8" s="18">
        <v>4870000000</v>
      </c>
      <c r="C8" s="18">
        <v>4513000000</v>
      </c>
      <c r="D8" s="18">
        <v>4401000000</v>
      </c>
      <c r="E8" s="18">
        <v>4419000000</v>
      </c>
      <c r="F8" s="8" t="s">
        <v>89</v>
      </c>
    </row>
    <row r="9" spans="1:6" x14ac:dyDescent="0.25">
      <c r="A9" t="s">
        <v>90</v>
      </c>
      <c r="B9" s="18">
        <v>49000000</v>
      </c>
      <c r="C9" s="18">
        <v>518000000</v>
      </c>
      <c r="D9" s="18">
        <v>-1491000000</v>
      </c>
      <c r="E9" s="18">
        <v>198000000</v>
      </c>
      <c r="F9" s="8" t="s">
        <v>91</v>
      </c>
    </row>
    <row r="10" spans="1:6" x14ac:dyDescent="0.25">
      <c r="A10" t="s">
        <v>92</v>
      </c>
      <c r="B10" s="18">
        <v>22980000000</v>
      </c>
      <c r="C10" s="18">
        <v>20963000000</v>
      </c>
      <c r="D10" s="18">
        <v>18618000000</v>
      </c>
      <c r="E10" s="18">
        <v>16856000000</v>
      </c>
      <c r="F10" s="8" t="s">
        <v>93</v>
      </c>
    </row>
    <row r="11" spans="1:6" x14ac:dyDescent="0.25">
      <c r="A11" t="s">
        <v>94</v>
      </c>
      <c r="B11" s="18">
        <v>548000000</v>
      </c>
      <c r="C11" s="18">
        <v>585000000</v>
      </c>
      <c r="D11" s="18">
        <v>631000000</v>
      </c>
      <c r="E11" s="18">
        <v>584000000</v>
      </c>
      <c r="F11" s="8" t="s">
        <v>95</v>
      </c>
    </row>
    <row r="12" spans="1:6" x14ac:dyDescent="0.25">
      <c r="A12" t="s">
        <v>32</v>
      </c>
      <c r="B12" s="34">
        <v>656000000</v>
      </c>
      <c r="C12" s="34">
        <v>644000000</v>
      </c>
      <c r="D12" s="34">
        <v>633000000</v>
      </c>
      <c r="E12" s="34">
        <v>632346000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