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<sst xmlns="http://schemas.openxmlformats.org/spreadsheetml/2006/main" count="112" uniqueCount="100">
  <si>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Canadian Natural Resources Limited (CNQ.TO)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</si>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</sst>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-0.037479788648146606</v>
      </c>
    </row>
    <row r="7" spans="1:2" x14ac:dyDescent="0.25">
      <c r="A7" t="s">
        <v>5</v>
      </c>
      <c r="B7" s="6">
        <v>0.24370858755333283</v>
      </c>
    </row>
    <row r="8" spans="1:2" x14ac:dyDescent="0.25">
      <c r="A8" t="s">
        <v>6</v>
      </c>
      <c r="B8" s="6">
        <v>0.19598789773179204</v>
      </c>
    </row>
    <row r="9" spans="1:2" x14ac:dyDescent="0.25">
      <c r="A9" t="s">
        <v>7</v>
      </c>
      <c r="B9" s="6">
        <v>0.1188383062658071</v>
      </c>
    </row>
    <row r="10" spans="1:2" x14ac:dyDescent="0.25">
      <c r="A10" t="s">
        <v>8</v>
      </c>
      <c r="B10" s="6">
        <v>0.12683757035452392</v>
      </c>
    </row>
    <row r="11" spans="1:2" x14ac:dyDescent="0.25">
      <c r="A11" t="s">
        <v>9</v>
      </c>
      <c r="B11" s="6">
        <v>-0.2528216704288939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18.44184585682794</v>
      </c>
    </row>
    <row r="14" spans="1:3" x14ac:dyDescent="0.25">
      <c r="A14" t="s">
        <v>12</v>
      </c>
      <c r="B14" s="6">
        <v>0.15017053610034425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0.91826</v>
      </c>
      <c r="C19" s="8" t="s">
        <v>19</v>
      </c>
    </row>
    <row r="20" spans="1:2" x14ac:dyDescent="0.25">
      <c r="A20" t="s">
        <v>20</v>
      </c>
      <c r="B20" s="10">
        <f>B17+B19*B18</f>
        <v>0.0835043</v>
      </c>
    </row>
    <row r="21" spans="1:3" x14ac:dyDescent="0.25">
      <c r="A21" t="s">
        <v>21</v>
      </c>
      <c r="B21" s="6">
        <v>0.0586409301275539</v>
      </c>
      <c r="C21" s="8" t="s">
        <v>22</v>
      </c>
    </row>
    <row r="22" spans="1:2" x14ac:dyDescent="0.25">
      <c r="A22" t="s">
        <v>23</v>
      </c>
      <c r="B22" s="11">
        <v>143006269440</v>
      </c>
    </row>
    <row r="23" spans="1:2" x14ac:dyDescent="0.25">
      <c r="A23" t="s">
        <v>24</v>
      </c>
      <c r="B23" s="11">
        <v>16617000000</v>
      </c>
    </row>
    <row r="24" spans="1:2" x14ac:dyDescent="0.25">
      <c r="A24" t="s">
        <v>25</v>
      </c>
      <c r="B24" s="10">
        <f>B22/(B22+B23)</f>
        <v>0.895898636468876</v>
      </c>
    </row>
    <row r="25" spans="1:2" x14ac:dyDescent="0.25">
      <c r="A25" t="s">
        <v>26</v>
      </c>
      <c r="B25" s="10">
        <f>1-B24</f>
        <v>0.10410136353112398</v>
      </c>
    </row>
    <row r="26" spans="1:2" x14ac:dyDescent="0.25">
      <c r="A26" t="s">
        <v>27</v>
      </c>
      <c r="B26" s="12">
        <f>B24*B20+B25*B21*(1-B8)</f>
        <v>0.0797195614199534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44167000000</v>
      </c>
      <c r="C29" s="8" t="s">
        <v>30</v>
      </c>
    </row>
    <row r="30" spans="1:2" x14ac:dyDescent="0.25">
      <c r="A30" t="s">
        <v>31</v>
      </c>
      <c r="B30" s="11">
        <v>15944000000</v>
      </c>
    </row>
    <row r="31" spans="1:2" x14ac:dyDescent="0.25">
      <c r="A31" t="s">
        <v>32</v>
      </c>
      <c r="B31" s="13">
        <v>2097906000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-0.037479788648146606</v>
      </c>
      <c r="C5" s="10">
        <f>Assumptions!B6</f>
        <v>-0.037479788648146606</v>
      </c>
      <c r="D5" s="10">
        <f>Assumptions!B6</f>
        <v>-0.037479788648146606</v>
      </c>
      <c r="E5" s="10">
        <f>Assumptions!B6</f>
        <v>-0.037479788648146606</v>
      </c>
      <c r="F5" s="10">
        <f>Assumptions!B6</f>
        <v>-0.037479788648146606</v>
      </c>
    </row>
    <row r="6" spans="1:6" x14ac:dyDescent="0.25">
      <c r="A6" t="s">
        <v>43</v>
      </c>
      <c r="B6" s="18">
        <f>Assumptions!B29*(1+B5)</f>
        <v>42511630174.777306</v>
      </c>
      <c r="C6" s="18">
        <f>B6*(1+C5)</f>
        <v>40918303260.73848</v>
      </c>
      <c r="D6" s="18">
        <f>C6*(1+D5)</f>
        <v>39384693902.685234</v>
      </c>
      <c r="E6" s="18">
        <f>D6*(1+E5)</f>
        <v>37908563899.24065</v>
      </c>
      <c r="F6" s="18">
        <f>E6*(1+F5)</f>
        <v>36487758936.34235</v>
      </c>
    </row>
    <row r="7" spans="1:6" x14ac:dyDescent="0.25">
      <c r="A7" t="s">
        <v>5</v>
      </c>
      <c r="B7" s="10">
        <f>Assumptions!B7</f>
        <v>0.24370858755333283</v>
      </c>
      <c r="C7" s="10">
        <f>Assumptions!B7</f>
        <v>0.24370858755333283</v>
      </c>
      <c r="D7" s="10">
        <f>Assumptions!B7</f>
        <v>0.24370858755333283</v>
      </c>
      <c r="E7" s="10">
        <f>Assumptions!B7</f>
        <v>0.24370858755333283</v>
      </c>
      <c r="F7" s="10">
        <f>Assumptions!B7</f>
        <v>0.24370858755333283</v>
      </c>
    </row>
    <row r="8" spans="1:6" x14ac:dyDescent="0.25">
      <c r="A8" t="s">
        <v>44</v>
      </c>
      <c r="B8" s="18">
        <f>B6*B7</f>
        <v>10360449344.484621</v>
      </c>
      <c r="C8" s="18">
        <f>C6*C7</f>
        <v>9972141892.753508</v>
      </c>
      <c r="D8" s="18">
        <f>D6*D7</f>
        <v>9598388122.243778</v>
      </c>
      <c r="E8" s="18">
        <f>E6*E7</f>
        <v>9238642564.0592</v>
      </c>
      <c r="F8" s="18">
        <f>F6*F7</f>
        <v>8892380193.362492</v>
      </c>
    </row>
    <row r="9" spans="1:6" x14ac:dyDescent="0.25">
      <c r="A9" t="s">
        <v>45</v>
      </c>
      <c r="B9" s="18">
        <f>B8*(1-Assumptions!B8)</f>
        <v>8329926657.902357</v>
      </c>
      <c r="C9" s="18">
        <f>C8*(1-Assumptions!B8)</f>
        <v>8017722767.309614</v>
      </c>
      <c r="D9" s="18">
        <f>D8*(1-Assumptions!B8)</f>
        <v>7717220212.551417</v>
      </c>
      <c r="E9" s="18">
        <f>E8*(1-Assumptions!B8)</f>
        <v>7427980430.033785</v>
      </c>
      <c r="F9" s="18">
        <f>F8*(1-Assumptions!B8)</f>
        <v>7149581293.433551</v>
      </c>
    </row>
    <row r="10" spans="1:6" x14ac:dyDescent="0.25">
      <c r="A10" t="s">
        <v>46</v>
      </c>
      <c r="B10" s="18">
        <f>B6*Assumptions!B9</f>
        <v>5052010126.5689125</v>
      </c>
      <c r="C10" s="18">
        <f>C6*Assumptions!B9</f>
        <v>4862661854.776813</v>
      </c>
      <c r="D10" s="18">
        <f>D6*Assumptions!B9</f>
        <v>4680410316.192373</v>
      </c>
      <c r="E10" s="18">
        <f>E6*Assumptions!B9</f>
        <v>4504989526.754879</v>
      </c>
      <c r="F10" s="18">
        <f>F6*Assumptions!B9</f>
        <v>4336143471.429992</v>
      </c>
    </row>
    <row r="11" spans="1:6" x14ac:dyDescent="0.25">
      <c r="A11" t="s">
        <v>47</v>
      </c>
      <c r="B11" s="18">
        <f>-B6*Assumptions!B10</f>
        <v>-5392071883.178819</v>
      </c>
      <c r="C11" s="18">
        <f>-C6*Assumptions!B10</f>
        <v>-5189978168.621662</v>
      </c>
      <c r="D11" s="18">
        <f>-D6*Assumptions!B10</f>
        <v>-4995458883.773228</v>
      </c>
      <c r="E11" s="18">
        <f>-E6*Assumptions!B10</f>
        <v>-4808230140.608901</v>
      </c>
      <c r="F11" s="18">
        <f>-F6*Assumptions!B10</f>
        <v>-4628018691.167232</v>
      </c>
    </row>
    <row r="12" spans="1:6" x14ac:dyDescent="0.25">
      <c r="A12" t="s">
        <v>48</v>
      </c>
      <c r="B12" s="18">
        <f>-(B6-Assumptions!B29)*Assumptions!B11</f>
        <v>-418513364.3903878</v>
      </c>
      <c r="C12" s="18">
        <f>-(C6-B6)*Assumptions!B11</f>
        <v>-402827571.9466106</v>
      </c>
      <c r="D12" s="18">
        <f>-(D6-C6)*Assumptions!B11</f>
        <v>-387729679.6884052</v>
      </c>
      <c r="E12" s="18">
        <f>-(E6-D6)*Assumptions!B11</f>
        <v>-373197653.2410696</v>
      </c>
      <c r="F12" s="18">
        <f>-(F6-E6)*Assumptions!B11</f>
        <v>-359210284.0736109</v>
      </c>
    </row>
    <row r="13" spans="1:6" x14ac:dyDescent="0.25">
      <c r="A13" s="19" t="s">
        <v>49</v>
      </c>
      <c r="B13" s="20">
        <f>B9+B10+B11+B12</f>
        <v>7571351536.902063</v>
      </c>
      <c r="C13" s="20">
        <f>C9+C10+C11+C12</f>
        <v>7287578881.518153</v>
      </c>
      <c r="D13" s="20">
        <f>D9+D10+D11+D12</f>
        <v>7014441965.282157</v>
      </c>
      <c r="E13" s="20">
        <f>E9+E10+E11+E12</f>
        <v>6751542162.938693</v>
      </c>
      <c r="F13" s="20">
        <f>F9+F10+F11+F12</f>
        <v>6498495789.6227</v>
      </c>
    </row>
    <row r="14" spans="1:6" x14ac:dyDescent="0.25">
      <c r="A14" t="s">
        <v>50</v>
      </c>
      <c r="B14" s="21">
        <f>1/(1+Assumptions!$B$26)^(1-0.5*Assumptions!$B$32)</f>
        <v>0.9623754045356183</v>
      </c>
      <c r="C14" s="21">
        <f>1/(1+Assumptions!$B$26)^(2-0.5*Assumptions!$B$32)</f>
        <v>0.8913197823979272</v>
      </c>
      <c r="D14" s="21">
        <f>1/(1+Assumptions!$B$26)^(3-0.5*Assumptions!$B$32)</f>
        <v>0.8255104512747187</v>
      </c>
      <c r="E14" s="21">
        <f>1/(1+Assumptions!$B$26)^(4-0.5*Assumptions!$B$32)</f>
        <v>0.7645600587147637</v>
      </c>
      <c r="F14" s="21">
        <f>1/(1+Assumptions!$B$26)^(5-0.5*Assumptions!$B$32)</f>
        <v>0.708109851885318</v>
      </c>
    </row>
    <row r="15" spans="1:6" x14ac:dyDescent="0.25">
      <c r="A15" s="19" t="s">
        <v>51</v>
      </c>
      <c r="B15" s="20">
        <f>B13*B14</f>
        <v>7286482498.207499</v>
      </c>
      <c r="C15" s="20">
        <f>C13*C14</f>
        <v>6495563222.88249</v>
      </c>
      <c r="D15" s="20">
        <f>D13*D14</f>
        <v>5790495152.2003975</v>
      </c>
      <c r="E15" s="20">
        <f>E13*E14</f>
        <v>5161959472.51161</v>
      </c>
      <c r="F15" s="20">
        <f>F13*F14</f>
        <v>4601648891.067093</v>
      </c>
    </row>
    <row r="17" spans="1:2" x14ac:dyDescent="0.25">
      <c r="A17" s="22" t="s">
        <v>52</v>
      </c>
      <c r="B17" s="23">
        <f>SUM(B15:F15)</f>
        <v>29336149236.869087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6498495789.6227</v>
      </c>
    </row>
    <row r="5" spans="1:2" x14ac:dyDescent="0.25">
      <c r="A5" t="s">
        <v>56</v>
      </c>
      <c r="B5" s="18">
        <f>IF(Assumptions!$B$33=0,B4,B4-Forecast!F11-Forecast!F10-Forecast!F12)</f>
        <v>10374854705.8626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0.16647739729246855</v>
      </c>
    </row>
    <row r="7" spans="1:2" x14ac:dyDescent="0.25">
      <c r="A7" t="s">
        <v>58</v>
      </c>
      <c r="B7" s="18">
        <f>-MAX(Forecast!F9,0)*B6</f>
        <v>-1727178808.719525</v>
      </c>
    </row>
    <row r="8" spans="1:2" x14ac:dyDescent="0.25">
      <c r="A8" t="s">
        <v>59</v>
      </c>
      <c r="B8" s="18">
        <f>IF(OR(Assumptions!$B$33=0,Assumptions!B12&lt;=0),B5,MAX(B5+B7,0))</f>
        <v>8647675897.143076</v>
      </c>
    </row>
    <row r="9" spans="1:2" x14ac:dyDescent="0.25">
      <c r="A9" t="s">
        <v>60</v>
      </c>
      <c r="B9" s="18">
        <f>B8*(1+Assumptions!B12)/(Assumptions!B26-Assumptions!B12)</f>
        <v>161987186383.76105</v>
      </c>
    </row>
    <row r="10" spans="1:2" x14ac:dyDescent="0.25">
      <c r="A10" t="s">
        <v>61</v>
      </c>
      <c r="B10" s="18">
        <f>B9/(1+Assumptions!B26)^(5-0.5*Assumptions!B32)</f>
        <v>114704722557.52444</v>
      </c>
    </row>
    <row r="11" spans="1:2" x14ac:dyDescent="0.25">
      <c r="A11" t="s">
        <v>62</v>
      </c>
      <c r="B11" s="18">
        <f>Forecast!B17+B10</f>
        <v>144040871794.39352</v>
      </c>
    </row>
    <row r="12" spans="1:2" x14ac:dyDescent="0.25">
      <c r="A12" t="s">
        <v>63</v>
      </c>
      <c r="B12" s="18">
        <f>-Assumptions!B30</f>
        <v>-15944000000</v>
      </c>
    </row>
    <row r="13" spans="1:2" x14ac:dyDescent="0.25">
      <c r="A13" t="s">
        <v>64</v>
      </c>
      <c r="B13" s="18">
        <f>B11+B12</f>
        <v>128096871794.39352</v>
      </c>
    </row>
    <row r="14" spans="1:2" x14ac:dyDescent="0.25">
      <c r="A14" s="19" t="s">
        <v>65</v>
      </c>
      <c r="B14" s="24">
        <f>B13/Assumptions!B31</f>
        <v>61.05939531818562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13228523664.792484</v>
      </c>
    </row>
    <row r="18" spans="1:2" x14ac:dyDescent="0.25">
      <c r="A18" t="s">
        <v>60</v>
      </c>
      <c r="B18" s="18">
        <f>B17*Assumptions!B13</f>
        <v>243958394339.50363</v>
      </c>
    </row>
    <row r="19" spans="1:2" x14ac:dyDescent="0.25">
      <c r="A19" t="s">
        <v>61</v>
      </c>
      <c r="B19" s="18">
        <f>B18/(1+Assumptions!B26)^(5-0.5*Assumptions!B32)</f>
        <v>172749342481.92593</v>
      </c>
    </row>
    <row r="20" spans="1:2" x14ac:dyDescent="0.25">
      <c r="A20" t="s">
        <v>62</v>
      </c>
      <c r="B20" s="18">
        <f>Forecast!B17+B19</f>
        <v>202085491718.795</v>
      </c>
    </row>
    <row r="21" spans="1:2" x14ac:dyDescent="0.25">
      <c r="A21" t="s">
        <v>63</v>
      </c>
      <c r="B21" s="18">
        <f>-Assumptions!B30</f>
        <v>-15944000000</v>
      </c>
    </row>
    <row r="22" spans="1:2" x14ac:dyDescent="0.25">
      <c r="A22" t="s">
        <v>64</v>
      </c>
      <c r="B22" s="18">
        <f>B20+B21</f>
        <v>186141491718.795</v>
      </c>
    </row>
    <row r="23" spans="1:2" x14ac:dyDescent="0.25">
      <c r="A23" s="19" t="s">
        <v>65</v>
      </c>
      <c r="B23" s="25">
        <f>B22/Assumptions!B31</f>
        <v>88.72727935321936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69.37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61.05939531818562</v>
      </c>
    </row>
    <row r="29" spans="1:2" x14ac:dyDescent="0.25">
      <c r="A29" s="19" t="s">
        <v>73</v>
      </c>
      <c r="B29" s="12">
        <f>B28/B26-1</f>
        <v>-0.11980113423402594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0.05972</v>
      </c>
      <c r="B5" s="31">
        <v>84.81638375980029</v>
      </c>
      <c r="C5" s="31">
        <v>91.78725171261982</v>
      </c>
      <c r="D5" s="31">
        <v>100.72932882133189</v>
      </c>
      <c r="E5" s="31">
        <v>112.63750530593612</v>
      </c>
      <c r="F5" s="31">
        <v>129.31159874889138</v>
      </c>
    </row>
    <row r="6" spans="1:6" x14ac:dyDescent="0.25">
      <c r="A6" s="30">
        <v>0.06972</v>
      </c>
      <c r="B6" s="31">
        <v>67.6508916495625</v>
      </c>
      <c r="C6" s="31">
        <v>71.61828067803697</v>
      </c>
      <c r="D6" s="31">
        <v>76.44564466565791</v>
      </c>
      <c r="E6" s="31">
        <v>82.45774756980698</v>
      </c>
      <c r="F6" s="31">
        <v>90.1664293601824</v>
      </c>
    </row>
    <row r="7" spans="1:6" x14ac:dyDescent="0.25">
      <c r="A7" s="30">
        <v>0.07972</v>
      </c>
      <c r="B7" s="31">
        <v>55.8169888913703</v>
      </c>
      <c r="C7" s="31">
        <v>58.228243733805435</v>
      </c>
      <c r="D7" s="32">
        <v>61.05884424941179</v>
      </c>
      <c r="E7" s="31">
        <v>64.43530260829336</v>
      </c>
      <c r="F7" s="31">
        <v>68.54071066306925</v>
      </c>
    </row>
    <row r="8" spans="1:6" x14ac:dyDescent="0.25">
      <c r="A8" s="30">
        <v>0.08972</v>
      </c>
      <c r="B8" s="31">
        <v>47.17255050421028</v>
      </c>
      <c r="C8" s="31">
        <v>48.698849154025716</v>
      </c>
      <c r="D8" s="31">
        <v>50.44369561031499</v>
      </c>
      <c r="E8" s="31">
        <v>52.461982992587664</v>
      </c>
      <c r="F8" s="31">
        <v>54.82866769502774</v>
      </c>
    </row>
    <row r="9" spans="1:6" x14ac:dyDescent="0.25">
      <c r="A9" s="30">
        <v>0.09972</v>
      </c>
      <c r="B9" s="31">
        <v>40.586933747621636</v>
      </c>
      <c r="C9" s="31">
        <v>41.57615983136576</v>
      </c>
      <c r="D9" s="31">
        <v>42.68340969644025</v>
      </c>
      <c r="E9" s="31">
        <v>43.93407572264943</v>
      </c>
      <c r="F9" s="31">
        <v>45.361397131517094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44167000000</v>
      </c>
      <c r="C5" s="18">
        <v>41509000000</v>
      </c>
      <c r="D5" s="18">
        <v>40835000000</v>
      </c>
      <c r="E5" s="18">
        <v>49530000000</v>
      </c>
      <c r="F5" s="8" t="s">
        <v>84</v>
      </c>
    </row>
    <row r="6" spans="1:6" x14ac:dyDescent="0.25">
      <c r="A6" t="s">
        <v>44</v>
      </c>
      <c r="B6" s="18">
        <v>8226000000</v>
      </c>
      <c r="C6" s="18">
        <v>9727000000</v>
      </c>
      <c r="D6" s="18">
        <v>10464000000</v>
      </c>
      <c r="E6" s="18">
        <v>14760000000</v>
      </c>
      <c r="F6" s="8" t="s">
        <v>85</v>
      </c>
    </row>
    <row r="7" spans="1:6" x14ac:dyDescent="0.25">
      <c r="A7" t="s">
        <v>86</v>
      </c>
      <c r="B7" s="18">
        <v>393000000</v>
      </c>
      <c r="C7" s="18">
        <v>6681000000</v>
      </c>
      <c r="D7" s="18">
        <v>6413000000</v>
      </c>
      <c r="E7" s="18">
        <v>7353000000</v>
      </c>
      <c r="F7" s="8" t="s">
        <v>87</v>
      </c>
    </row>
    <row r="8" spans="1:6" x14ac:dyDescent="0.25">
      <c r="A8" t="s">
        <v>88</v>
      </c>
      <c r="B8" s="18">
        <v>6791000000</v>
      </c>
      <c r="C8" s="18">
        <v>5383000000</v>
      </c>
      <c r="D8" s="18">
        <v>4909000000</v>
      </c>
      <c r="E8" s="18">
        <v>5136000000</v>
      </c>
      <c r="F8" s="8" t="s">
        <v>89</v>
      </c>
    </row>
    <row r="9" spans="1:6" x14ac:dyDescent="0.25">
      <c r="A9" t="s">
        <v>90</v>
      </c>
      <c r="B9" s="18">
        <v>-672000000</v>
      </c>
      <c r="C9" s="18">
        <v>743000000</v>
      </c>
      <c r="D9" s="18">
        <v>2417000000</v>
      </c>
      <c r="E9" s="18">
        <v>-79000000</v>
      </c>
      <c r="F9" s="8" t="s">
        <v>91</v>
      </c>
    </row>
    <row r="10" spans="1:6" x14ac:dyDescent="0.25">
      <c r="A10" t="s">
        <v>92</v>
      </c>
      <c r="B10" s="18">
        <v>16617000000</v>
      </c>
      <c r="C10" s="18">
        <v>18819000000</v>
      </c>
      <c r="D10" s="18">
        <v>10799000000</v>
      </c>
      <c r="E10" s="18">
        <v>11445000000</v>
      </c>
      <c r="F10" s="8" t="s">
        <v>93</v>
      </c>
    </row>
    <row r="11" spans="1:6" x14ac:dyDescent="0.25">
      <c r="A11" t="s">
        <v>94</v>
      </c>
      <c r="B11" s="18">
        <v>673000000</v>
      </c>
      <c r="C11" s="18">
        <v>131000000</v>
      </c>
      <c r="D11" s="18">
        <v>1402000000</v>
      </c>
      <c r="E11" s="18">
        <v>1411000000</v>
      </c>
      <c r="F11" s="8" t="s">
        <v>95</v>
      </c>
    </row>
    <row r="12" spans="1:6" x14ac:dyDescent="0.25">
      <c r="A12" t="s">
        <v>32</v>
      </c>
      <c r="B12" s="34">
        <v>2097906000</v>
      </c>
      <c r="C12" s="34">
        <v>2140429000</v>
      </c>
      <c r="D12" s="34">
        <v>2204248000</v>
      </c>
      <c r="E12" s="34">
        <v>2298364000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2026-09-19T00:08:41Z</dcterms:modified>
</cp:coreProperties>
</file>