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<sst xmlns="http://schemas.openxmlformats.org/spreadsheetml/2006/main" count="113" uniqueCount="101">
  <si>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Canadian National Railway Company (CNR.TO)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</si>
  <si>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</si>
  <si>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</si>
  <si>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</si>
  <si>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</si>
  <si>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</si>
  <si>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</si>
  <si>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</si>
  <si>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</si>
  <si>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</si>
  <si>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</si>
  <si>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</si>
  <si>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</si>
  <si>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</si>
  <si>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</si>
  <si>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</si>
  <si>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</si>
  <si>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</si>
  <si>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</si>
  <si>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</si>
  <si>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</si>
  <si>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</si>
  <si>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</si>
  <si>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</si>
  <si>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</si>
  <si>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</si>
  <si>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</si>
  <si>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</si>
  <si>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</si>
  <si>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</si>
  <si>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</si>
  <si>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</si>
  <si>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</si>
  <si>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</si>
  <si>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</si>
  <si>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</si>
  <si>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</si>
  <si>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</si>
  <si>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</si>
  <si>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</si>
  <si>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</si>
  <si>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</si>
  <si>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</si>
  <si>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</si>
  <si>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</si>
  <si>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</si>
  <si>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</si>
  <si>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</si>
  <si>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</si>
  <si>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</si>
  <si>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</si>
  <si>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</si>
  <si>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</si>
  <si>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</si>
  <si>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</si>
  <si>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</si>
  <si>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</si>
  <si>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</si>
  <si>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</si>
  <si>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</si>
  <si>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</si>
  <si>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</si>
  <si>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</si>
  <si>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</si>
  <si>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</si>
  <si>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</si>
  <si>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</si>
  <si>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</si>
  <si>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</si>
  <si>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</si>
  <si>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</si>
  <si>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</si>
  <si>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</si>
  <si>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</si>
  <si>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</si>
  <si>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</si>
  <si>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</si>
  <si>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</si>
  <si>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</si>
  <si>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</si>
  <si>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</si>
  <si>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</si>
  <si>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</si>
  <si>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</si>
  <si>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</si>
  <si>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</si>
  <si>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</si>
  <si>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</si>
  <si>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</si>
  <si>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</si>
  <si>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</si>
  <si>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</si>
  <si>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</si>
  <si>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</si>
  <si>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</si>
  <si>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</si>
  <si>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</si>
  <si>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</si>
  <si>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19.2% of revenue against depreciation of 10.8%.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</si>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</sst>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0.003823943413180375</v>
      </c>
    </row>
    <row r="7" spans="1:2" x14ac:dyDescent="0.25">
      <c r="A7" t="s">
        <v>5</v>
      </c>
      <c r="B7" s="6">
        <v>0.3858949359368564</v>
      </c>
    </row>
    <row r="8" spans="1:2" x14ac:dyDescent="0.25">
      <c r="A8" t="s">
        <v>6</v>
      </c>
      <c r="B8" s="6">
        <v>0.24157661369425068</v>
      </c>
    </row>
    <row r="9" spans="1:2" x14ac:dyDescent="0.25">
      <c r="A9" t="s">
        <v>7</v>
      </c>
      <c r="B9" s="6">
        <v>0.10800888725995694</v>
      </c>
    </row>
    <row r="10" spans="1:2" x14ac:dyDescent="0.25">
      <c r="A10" t="s">
        <v>8</v>
      </c>
      <c r="B10" s="6">
        <v>0.19243429777104962</v>
      </c>
    </row>
    <row r="11" spans="1:2" x14ac:dyDescent="0.25">
      <c r="A11" t="s">
        <v>9</v>
      </c>
      <c r="B11" s="6">
        <v>-0.42201834862385323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14.323134235777125</v>
      </c>
    </row>
    <row r="14" spans="1:3" x14ac:dyDescent="0.25">
      <c r="A14" t="s">
        <v>12</v>
      </c>
      <c r="B14" s="6">
        <v>0.12322349021151752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0.99196</v>
      </c>
      <c r="C19" s="8" t="s">
        <v>19</v>
      </c>
    </row>
    <row r="20" spans="1:2" x14ac:dyDescent="0.25">
      <c r="A20" t="s">
        <v>20</v>
      </c>
      <c r="B20" s="10">
        <f>B17+B19*B18</f>
        <v>0.08755779999999999</v>
      </c>
    </row>
    <row r="21" spans="1:3" x14ac:dyDescent="0.25">
      <c r="A21" t="s">
        <v>21</v>
      </c>
      <c r="B21" s="6">
        <v>0.04246412874119206</v>
      </c>
      <c r="C21" s="8" t="s">
        <v>22</v>
      </c>
    </row>
    <row r="22" spans="1:2" x14ac:dyDescent="0.25">
      <c r="A22" t="s">
        <v>23</v>
      </c>
      <c r="B22" s="11">
        <v>100824719360</v>
      </c>
    </row>
    <row r="23" spans="1:2" x14ac:dyDescent="0.25">
      <c r="A23" t="s">
        <v>24</v>
      </c>
      <c r="B23" s="11">
        <v>21630000000</v>
      </c>
    </row>
    <row r="24" spans="1:2" x14ac:dyDescent="0.25">
      <c r="A24" t="s">
        <v>25</v>
      </c>
      <c r="B24" s="10">
        <f>B22/(B22+B23)</f>
        <v>0.8233632798062215</v>
      </c>
    </row>
    <row r="25" spans="1:2" x14ac:dyDescent="0.25">
      <c r="A25" t="s">
        <v>26</v>
      </c>
      <c r="B25" s="10">
        <f>1-B24</f>
        <v>0.17663672019377852</v>
      </c>
    </row>
    <row r="26" spans="1:2" x14ac:dyDescent="0.25">
      <c r="A26" t="s">
        <v>27</v>
      </c>
      <c r="B26" s="12">
        <f>B24*B20+B25*B21*(1-B8)</f>
        <v>0.0777806022000844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17304000000</v>
      </c>
      <c r="C29" s="8" t="s">
        <v>30</v>
      </c>
    </row>
    <row r="30" spans="1:2" x14ac:dyDescent="0.25">
      <c r="A30" t="s">
        <v>31</v>
      </c>
      <c r="B30" s="11">
        <v>21280000000</v>
      </c>
    </row>
    <row r="31" spans="1:2" x14ac:dyDescent="0.25">
      <c r="A31" t="s">
        <v>32</v>
      </c>
      <c r="B31" s="13">
        <v>623700000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0.003823943413180375</v>
      </c>
      <c r="C5" s="10">
        <f>Assumptions!B6</f>
        <v>0.003823943413180375</v>
      </c>
      <c r="D5" s="10">
        <f>Assumptions!B6</f>
        <v>0.003823943413180375</v>
      </c>
      <c r="E5" s="10">
        <f>Assumptions!B6</f>
        <v>0.003823943413180375</v>
      </c>
      <c r="F5" s="10">
        <f>Assumptions!B6</f>
        <v>0.003823943413180375</v>
      </c>
    </row>
    <row r="6" spans="1:6" x14ac:dyDescent="0.25">
      <c r="A6" t="s">
        <v>43</v>
      </c>
      <c r="B6" s="18">
        <f>Assumptions!B29*(1+B5)</f>
        <v>17370169516.821674</v>
      </c>
      <c r="C6" s="18">
        <f>B6*(1+C5)</f>
        <v>17436592062.13135</v>
      </c>
      <c r="D6" s="18">
        <f>C6*(1+D5)</f>
        <v>17503268603.49565</v>
      </c>
      <c r="E6" s="18">
        <f>D6*(1+E5)</f>
        <v>17570200112.181114</v>
      </c>
      <c r="F6" s="18">
        <f>E6*(1+F5)</f>
        <v>17637387563.16835</v>
      </c>
    </row>
    <row r="7" spans="1:6" x14ac:dyDescent="0.25">
      <c r="A7" t="s">
        <v>5</v>
      </c>
      <c r="B7" s="10">
        <f>Assumptions!B7</f>
        <v>0.3858949359368564</v>
      </c>
      <c r="C7" s="10">
        <f>Assumptions!B7</f>
        <v>0.3858949359368564</v>
      </c>
      <c r="D7" s="10">
        <f>Assumptions!B7</f>
        <v>0.3858949359368564</v>
      </c>
      <c r="E7" s="10">
        <f>Assumptions!B7</f>
        <v>0.3858949359368564</v>
      </c>
      <c r="F7" s="10">
        <f>Assumptions!B7</f>
        <v>0.3858949359368564</v>
      </c>
    </row>
    <row r="8" spans="1:6" x14ac:dyDescent="0.25">
      <c r="A8" t="s">
        <v>44</v>
      </c>
      <c r="B8" s="18">
        <f>B6*B7</f>
        <v>6703060452.906237</v>
      </c>
      <c r="C8" s="18">
        <f>C6*C7</f>
        <v>6728692576.773277</v>
      </c>
      <c r="D8" s="18">
        <f>D6*D7</f>
        <v>6754422716.431544</v>
      </c>
      <c r="E8" s="18">
        <f>E6*E7</f>
        <v>6780251246.687879</v>
      </c>
      <c r="F8" s="18">
        <f>F6*F7</f>
        <v>6806178543.782359</v>
      </c>
    </row>
    <row r="9" spans="1:6" x14ac:dyDescent="0.25">
      <c r="A9" t="s">
        <v>45</v>
      </c>
      <c r="B9" s="18">
        <f>B8*(1-Assumptions!B8)</f>
        <v>5083757807.305298</v>
      </c>
      <c r="C9" s="18">
        <f>C8*(1-Assumptions!B8)</f>
        <v>5103197809.486748</v>
      </c>
      <c r="D9" s="18">
        <f>D8*(1-Assumptions!B8)</f>
        <v>5122712149.13649</v>
      </c>
      <c r="E9" s="18">
        <f>E8*(1-Assumptions!B8)</f>
        <v>5142301110.5168</v>
      </c>
      <c r="F9" s="18">
        <f>F8*(1-Assumptions!B8)</f>
        <v>5161964978.976951</v>
      </c>
    </row>
    <row r="10" spans="1:6" x14ac:dyDescent="0.25">
      <c r="A10" t="s">
        <v>46</v>
      </c>
      <c r="B10" s="18">
        <f>B6*Assumptions!B9</f>
        <v>1876132681.028733</v>
      </c>
      <c r="C10" s="18">
        <f>C6*Assumptions!B9</f>
        <v>1883306906.2366052</v>
      </c>
      <c r="D10" s="18">
        <f>D6*Assumptions!B9</f>
        <v>1890508565.2757058</v>
      </c>
      <c r="E10" s="18">
        <f>E6*Assumptions!B9</f>
        <v>1897737763.0514529</v>
      </c>
      <c r="F10" s="18">
        <f>F6*Assumptions!B9</f>
        <v>1904994604.870417</v>
      </c>
    </row>
    <row r="11" spans="1:6" x14ac:dyDescent="0.25">
      <c r="A11" t="s">
        <v>47</v>
      </c>
      <c r="B11" s="18">
        <f>-B6*Assumptions!B10</f>
        <v>-3342616373.1336713</v>
      </c>
      <c r="C11" s="18">
        <f>-C6*Assumptions!B10</f>
        <v>-3355398348.996505</v>
      </c>
      <c r="D11" s="18">
        <f>-D6*Assumptions!B10</f>
        <v>-3368229202.411746</v>
      </c>
      <c r="E11" s="18">
        <f>-E6*Assumptions!B10</f>
        <v>-3381109120.28439</v>
      </c>
      <c r="F11" s="18">
        <f>-F6*Assumptions!B10</f>
        <v>-3394038290.2341456</v>
      </c>
    </row>
    <row r="12" spans="1:6" x14ac:dyDescent="0.25">
      <c r="A12" t="s">
        <v>48</v>
      </c>
      <c r="B12" s="18">
        <f>-(B6-Assumptions!B29)*Assumptions!B11</f>
        <v>27924750.218321286</v>
      </c>
      <c r="C12" s="18">
        <f>-(C6-B6)*Assumptions!B11</f>
        <v>28031532.882983007</v>
      </c>
      <c r="D12" s="18">
        <f>-(D6-C6)*Assumptions!B11</f>
        <v>28138723.87851183</v>
      </c>
      <c r="E12" s="18">
        <f>-(E6-D6)*Assumptions!B11</f>
        <v>28246324.766342163</v>
      </c>
      <c r="F12" s="18">
        <f>-(F6-E6)*Assumptions!B11</f>
        <v>28354337.113879424</v>
      </c>
    </row>
    <row r="13" spans="1:6" x14ac:dyDescent="0.25">
      <c r="A13" s="19" t="s">
        <v>49</v>
      </c>
      <c r="B13" s="20">
        <f>B9+B10+B11+B12</f>
        <v>3645198865.418681</v>
      </c>
      <c r="C13" s="20">
        <f>C9+C10+C11+C12</f>
        <v>3659137899.609831</v>
      </c>
      <c r="D13" s="20">
        <f>D9+D10+D11+D12</f>
        <v>3673130235.878961</v>
      </c>
      <c r="E13" s="20">
        <f>E9+E10+E11+E12</f>
        <v>3687176078.0502048</v>
      </c>
      <c r="F13" s="20">
        <f>F9+F10+F11+F12</f>
        <v>3701275630.727102</v>
      </c>
    </row>
    <row r="14" spans="1:6" x14ac:dyDescent="0.25">
      <c r="A14" t="s">
        <v>50</v>
      </c>
      <c r="B14" s="21">
        <f>1/(1+Assumptions!$B$26)^(1-0.5*Assumptions!$B$32)</f>
        <v>0.9632406864694141</v>
      </c>
      <c r="C14" s="21">
        <f>1/(1+Assumptions!$B$26)^(2-0.5*Assumptions!$B$32)</f>
        <v>0.8937261298850072</v>
      </c>
      <c r="D14" s="21">
        <f>1/(1+Assumptions!$B$26)^(3-0.5*Assumptions!$B$32)</f>
        <v>0.8292282567162882</v>
      </c>
      <c r="E14" s="21">
        <f>1/(1+Assumptions!$B$26)^(4-0.5*Assumptions!$B$32)</f>
        <v>0.7693850260652086</v>
      </c>
      <c r="F14" s="21">
        <f>1/(1+Assumptions!$B$26)^(5-0.5*Assumptions!$B$32)</f>
        <v>0.7138605245767601</v>
      </c>
    </row>
    <row r="15" spans="1:6" x14ac:dyDescent="0.25">
      <c r="A15" s="19" t="s">
        <v>51</v>
      </c>
      <c r="B15" s="20">
        <f>B13*B14</f>
        <v>3511203857.44342</v>
      </c>
      <c r="C15" s="20">
        <f>C13*C14</f>
        <v>3270267153.733848</v>
      </c>
      <c r="D15" s="20">
        <f>D13*D14</f>
        <v>3045863382.1897993</v>
      </c>
      <c r="E15" s="20">
        <f>E13*E14</f>
        <v>2836858062.9176707</v>
      </c>
      <c r="F15" s="20">
        <f>F13*F14</f>
        <v>2642194563.3540273</v>
      </c>
    </row>
    <row r="17" spans="1:2" x14ac:dyDescent="0.25">
      <c r="A17" s="22" t="s">
        <v>52</v>
      </c>
      <c r="B17" s="23">
        <f>SUM(B15:F15)</f>
        <v>15306387019.638765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3701275630.727102</v>
      </c>
    </row>
    <row r="5" spans="1:2" x14ac:dyDescent="0.25">
      <c r="A5" t="s">
        <v>56</v>
      </c>
      <c r="B5" s="18">
        <f>IF(Assumptions!$B$33=0,B4,B4-Forecast!F11-Forecast!F10-Forecast!F12)</f>
        <v>5161964978.976951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0.20288339469273764</v>
      </c>
    </row>
    <row r="7" spans="1:2" x14ac:dyDescent="0.25">
      <c r="A7" t="s">
        <v>58</v>
      </c>
      <c r="B7" s="18">
        <f>-MAX(Forecast!F9,0)*B6</f>
        <v>-1047276978.2198699</v>
      </c>
    </row>
    <row r="8" spans="1:2" x14ac:dyDescent="0.25">
      <c r="A8" t="s">
        <v>59</v>
      </c>
      <c r="B8" s="18">
        <f>IF(OR(Assumptions!$B$33=0,Assumptions!B12&lt;=0),B5,MAX(B5+B7,0))</f>
        <v>4114688000.757081</v>
      </c>
    </row>
    <row r="9" spans="1:2" x14ac:dyDescent="0.25">
      <c r="A9" t="s">
        <v>60</v>
      </c>
      <c r="B9" s="18">
        <f>B8*(1+Assumptions!B12)/(Assumptions!B26-Assumptions!B12)</f>
        <v>79907295956.7192</v>
      </c>
    </row>
    <row r="10" spans="1:2" x14ac:dyDescent="0.25">
      <c r="A10" t="s">
        <v>61</v>
      </c>
      <c r="B10" s="18">
        <f>B9/(1+Assumptions!B26)^(5-0.5*Assumptions!B32)</f>
        <v>57042664209.17398</v>
      </c>
    </row>
    <row r="11" spans="1:2" x14ac:dyDescent="0.25">
      <c r="A11" t="s">
        <v>62</v>
      </c>
      <c r="B11" s="18">
        <f>Forecast!B17+B10</f>
        <v>72349051228.81274</v>
      </c>
    </row>
    <row r="12" spans="1:2" x14ac:dyDescent="0.25">
      <c r="A12" t="s">
        <v>63</v>
      </c>
      <c r="B12" s="18">
        <f>-Assumptions!B30</f>
        <v>-21280000000</v>
      </c>
    </row>
    <row r="13" spans="1:2" x14ac:dyDescent="0.25">
      <c r="A13" t="s">
        <v>64</v>
      </c>
      <c r="B13" s="18">
        <f>B11+B12</f>
        <v>51069051228.812744</v>
      </c>
    </row>
    <row r="14" spans="1:2" x14ac:dyDescent="0.25">
      <c r="A14" s="19" t="s">
        <v>65</v>
      </c>
      <c r="B14" s="24">
        <f>B13/Assumptions!B31</f>
        <v>81.88079401765712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8711173148.652777</v>
      </c>
    </row>
    <row r="18" spans="1:2" x14ac:dyDescent="0.25">
      <c r="A18" t="s">
        <v>60</v>
      </c>
      <c r="B18" s="18">
        <f>B17*Assumptions!B13</f>
        <v>124771302359.251</v>
      </c>
    </row>
    <row r="19" spans="1:2" x14ac:dyDescent="0.25">
      <c r="A19" t="s">
        <v>61</v>
      </c>
      <c r="B19" s="18">
        <f>B18/(1+Assumptions!B26)^(5-0.5*Assumptions!B32)</f>
        <v>89069307354.30046</v>
      </c>
    </row>
    <row r="20" spans="1:2" x14ac:dyDescent="0.25">
      <c r="A20" t="s">
        <v>62</v>
      </c>
      <c r="B20" s="18">
        <f>Forecast!B17+B19</f>
        <v>104375694373.93922</v>
      </c>
    </row>
    <row r="21" spans="1:2" x14ac:dyDescent="0.25">
      <c r="A21" t="s">
        <v>63</v>
      </c>
      <c r="B21" s="18">
        <f>-Assumptions!B30</f>
        <v>-21280000000</v>
      </c>
    </row>
    <row r="22" spans="1:2" x14ac:dyDescent="0.25">
      <c r="A22" t="s">
        <v>64</v>
      </c>
      <c r="B22" s="18">
        <f>B20+B21</f>
        <v>83095694373.93922</v>
      </c>
    </row>
    <row r="23" spans="1:2" x14ac:dyDescent="0.25">
      <c r="A23" s="19" t="s">
        <v>65</v>
      </c>
      <c r="B23" s="25">
        <f>B22/Assumptions!B31</f>
        <v>133.23022987644578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166.68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81.88079401765712</v>
      </c>
    </row>
    <row r="29" spans="1:2" x14ac:dyDescent="0.25">
      <c r="A29" s="19" t="s">
        <v>73</v>
      </c>
      <c r="B29" s="12">
        <f>B28/B26-1</f>
        <v>-0.5087545355312149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0.057781</v>
      </c>
      <c r="B5" s="31">
        <v>125.47680975784651</v>
      </c>
      <c r="C5" s="31">
        <v>136.9079580576891</v>
      </c>
      <c r="D5" s="31">
        <v>151.7466692475096</v>
      </c>
      <c r="E5" s="31">
        <v>171.83281386291398</v>
      </c>
      <c r="F5" s="31">
        <v>200.62153001828526</v>
      </c>
    </row>
    <row r="6" spans="1:6" x14ac:dyDescent="0.25">
      <c r="A6" s="30">
        <v>0.067781</v>
      </c>
      <c r="B6" s="31">
        <v>95.03037593892114</v>
      </c>
      <c r="C6" s="31">
        <v>101.14902690011286</v>
      </c>
      <c r="D6" s="31">
        <v>108.63946616358845</v>
      </c>
      <c r="E6" s="31">
        <v>118.04632792469107</v>
      </c>
      <c r="F6" s="31">
        <v>130.24653288335068</v>
      </c>
    </row>
    <row r="7" spans="1:6" x14ac:dyDescent="0.25">
      <c r="A7" s="30">
        <v>0.077781</v>
      </c>
      <c r="B7" s="31">
        <v>74.3137451103563</v>
      </c>
      <c r="C7" s="31">
        <v>77.79021847258788</v>
      </c>
      <c r="D7" s="32">
        <v>81.87993144991512</v>
      </c>
      <c r="E7" s="31">
        <v>86.77539977508609</v>
      </c>
      <c r="F7" s="31">
        <v>92.75913975715518</v>
      </c>
    </row>
    <row r="8" spans="1:6" x14ac:dyDescent="0.25">
      <c r="A8" s="30">
        <v>0.087781</v>
      </c>
      <c r="B8" s="31">
        <v>59.314676628895256</v>
      </c>
      <c r="C8" s="31">
        <v>61.34194396493378</v>
      </c>
      <c r="D8" s="31">
        <v>63.6554910819085</v>
      </c>
      <c r="E8" s="31">
        <v>66.32963647056975</v>
      </c>
      <c r="F8" s="31">
        <v>69.46685969885479</v>
      </c>
    </row>
    <row r="9" spans="1:6" x14ac:dyDescent="0.25">
      <c r="A9" s="30">
        <v>0.097781</v>
      </c>
      <c r="B9" s="31">
        <v>47.95975531897033</v>
      </c>
      <c r="C9" s="31">
        <v>49.13779174693746</v>
      </c>
      <c r="D9" s="31">
        <v>50.44736526517002</v>
      </c>
      <c r="E9" s="31">
        <v>51.91758515730184</v>
      </c>
      <c r="F9" s="31">
        <v>53.58683398507114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17304000000</v>
      </c>
      <c r="C5" s="18">
        <v>17046000000</v>
      </c>
      <c r="D5" s="18">
        <v>16828000000</v>
      </c>
      <c r="E5" s="18">
        <v>17107000000</v>
      </c>
      <c r="F5" s="8" t="s">
        <v>84</v>
      </c>
    </row>
    <row r="6" spans="1:6" x14ac:dyDescent="0.25">
      <c r="A6" t="s">
        <v>44</v>
      </c>
      <c r="B6" s="18">
        <v>6587000000</v>
      </c>
      <c r="C6" s="18">
        <v>6325000000</v>
      </c>
      <c r="D6" s="18">
        <v>6597000000</v>
      </c>
      <c r="E6" s="18">
        <v>6840000000</v>
      </c>
      <c r="F6" s="8" t="s">
        <v>85</v>
      </c>
    </row>
    <row r="7" spans="1:6" x14ac:dyDescent="0.25">
      <c r="A7" t="s">
        <v>86</v>
      </c>
      <c r="B7" s="18">
        <v>1938000000</v>
      </c>
      <c r="C7" s="18">
        <v>1892000000</v>
      </c>
      <c r="D7" s="18">
        <v>1817000000</v>
      </c>
      <c r="E7" s="18">
        <v>1729000000</v>
      </c>
      <c r="F7" s="8" t="s">
        <v>87</v>
      </c>
    </row>
    <row r="8" spans="1:6" x14ac:dyDescent="0.25">
      <c r="A8" t="s">
        <v>88</v>
      </c>
      <c r="B8" s="18">
        <v>3658000000</v>
      </c>
      <c r="C8" s="18">
        <v>3549000000</v>
      </c>
      <c r="D8" s="18">
        <v>3187000000</v>
      </c>
      <c r="E8" s="18">
        <v>2750000000</v>
      </c>
      <c r="F8" s="8" t="s">
        <v>89</v>
      </c>
    </row>
    <row r="9" spans="1:6" x14ac:dyDescent="0.25">
      <c r="A9" t="s">
        <v>90</v>
      </c>
      <c r="B9" s="18">
        <v>-165000000</v>
      </c>
      <c r="C9" s="18">
        <v>-92000000</v>
      </c>
      <c r="D9" s="18">
        <v>53000000</v>
      </c>
      <c r="E9" s="18">
        <v>411000000</v>
      </c>
      <c r="F9" s="8" t="s">
        <v>91</v>
      </c>
    </row>
    <row r="10" spans="1:6" x14ac:dyDescent="0.25">
      <c r="A10" t="s">
        <v>92</v>
      </c>
      <c r="B10" s="18">
        <v>21630000000</v>
      </c>
      <c r="C10" s="18">
        <v>21371000000</v>
      </c>
      <c r="D10" s="18">
        <v>18888000000</v>
      </c>
      <c r="E10" s="18">
        <v>15895000000</v>
      </c>
      <c r="F10" s="8" t="s">
        <v>93</v>
      </c>
    </row>
    <row r="11" spans="1:6" x14ac:dyDescent="0.25">
      <c r="A11" t="s">
        <v>94</v>
      </c>
      <c r="B11" s="18">
        <v>350000000</v>
      </c>
      <c r="C11" s="18">
        <v>389000000</v>
      </c>
      <c r="D11" s="18">
        <v>475000000</v>
      </c>
      <c r="E11" s="18">
        <v>328000000</v>
      </c>
      <c r="F11" s="8" t="s">
        <v>95</v>
      </c>
    </row>
    <row r="12" spans="1:6" x14ac:dyDescent="0.25">
      <c r="A12" t="s">
        <v>32</v>
      </c>
      <c r="B12" s="34">
        <v>623700000</v>
      </c>
      <c r="C12" s="34">
        <v>634500000</v>
      </c>
      <c r="D12" s="34">
        <v>659100000</v>
      </c>
      <c r="E12" s="34">
        <v>688300000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2026-09-19T00:07:45Z</dcterms:modified>
</cp:coreProperties>
</file>