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<sst xmlns="http://schemas.openxmlformats.org/spreadsheetml/2006/main" count="113" uniqueCount="101">
  <si>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Chorus Limited (CNU.AX)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</si>
  <si>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</si>
  <si>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</si>
  <si>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</si>
  <si>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</si>
  <si>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</si>
  <si>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</si>
  <si>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</si>
  <si>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</si>
  <si>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</si>
  <si>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</si>
  <si>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</si>
  <si>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</si>
  <si>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</si>
  <si>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</si>
  <si>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</si>
  <si>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</si>
  <si>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</si>
  <si>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</si>
  <si>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</si>
  <si>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</si>
  <si>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</si>
  <si>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</si>
  <si>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</si>
  <si>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</si>
  <si>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</si>
  <si>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</si>
  <si>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</si>
  <si>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</si>
  <si>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</si>
  <si>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</si>
  <si>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</si>
  <si>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</si>
  <si>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</si>
  <si>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</si>
  <si>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</si>
  <si>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</si>
  <si>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</si>
  <si>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</si>
  <si>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</si>
  <si>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</si>
  <si>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</si>
  <si>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</si>
  <si>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</si>
  <si>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</si>
  <si>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</si>
  <si>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</si>
  <si>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</si>
  <si>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</si>
  <si>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</si>
  <si>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</si>
  <si>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</si>
  <si>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</si>
  <si>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</si>
  <si>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</si>
  <si>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</si>
  <si>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</si>
  <si>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</si>
  <si>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</si>
  <si>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</si>
  <si>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</si>
  <si>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</si>
  <si>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</si>
  <si>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</si>
  <si>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</si>
  <si>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</si>
  <si>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</si>
  <si>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</si>
  <si>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</si>
  <si>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</si>
  <si>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</si>
  <si>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</si>
  <si>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</si>
  <si>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</si>
  <si>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</si>
  <si>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</si>
  <si>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</si>
  <si>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</si>
  <si>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</si>
  <si>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</si>
  <si>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</si>
  <si>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</si>
  <si>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</si>
  <si>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</si>
  <si>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</si>
  <si>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</si>
  <si>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</si>
  <si>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</si>
  <si>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</si>
  <si>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</si>
  <si>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</si>
  <si>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</si>
  <si>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</si>
  <si>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</si>
  <si>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</si>
  <si>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</si>
  <si>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</si>
  <si>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</si>
  <si>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</si>
  <si>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NZD, trades in AUD. Modelled in NZD,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</si>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</sst>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0.01639635681485352</v>
      </c>
    </row>
    <row r="7" spans="1:2" x14ac:dyDescent="0.25">
      <c r="A7" t="s">
        <v>5</v>
      </c>
      <c r="B7" s="6">
        <v>0.2343891274964538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0.4553758208412525</v>
      </c>
    </row>
    <row r="10" spans="1:2" x14ac:dyDescent="0.25">
      <c r="A10" t="s">
        <v>8</v>
      </c>
      <c r="B10" s="6">
        <v>0.431020052404197</v>
      </c>
    </row>
    <row r="11" spans="1:2" x14ac:dyDescent="0.25">
      <c r="A11" t="s">
        <v>9</v>
      </c>
      <c r="B11" s="6">
        <v>-0.08860759493670886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8.57177882093664</v>
      </c>
    </row>
    <row r="14" spans="1:3" x14ac:dyDescent="0.25">
      <c r="A14" t="s">
        <v>12</v>
      </c>
      <c r="B14" s="6">
        <v>0.06586209158228294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0.59867</v>
      </c>
      <c r="C19" s="8" t="s">
        <v>19</v>
      </c>
    </row>
    <row r="20" spans="1:2" x14ac:dyDescent="0.25">
      <c r="A20" t="s">
        <v>20</v>
      </c>
      <c r="B20" s="10">
        <f>B17+B19*B18</f>
        <v>0.0894002</v>
      </c>
    </row>
    <row r="21" spans="1:3" x14ac:dyDescent="0.25">
      <c r="A21" t="s">
        <v>21</v>
      </c>
      <c r="B21" s="6">
        <v>0.06535561141505249</v>
      </c>
      <c r="C21" s="8" t="s">
        <v>22</v>
      </c>
    </row>
    <row r="22" spans="1:2" x14ac:dyDescent="0.25">
      <c r="A22" t="s">
        <v>23</v>
      </c>
      <c r="B22" s="11">
        <v>2959111424</v>
      </c>
    </row>
    <row r="23" spans="1:2" x14ac:dyDescent="0.25">
      <c r="A23" t="s">
        <v>24</v>
      </c>
      <c r="B23" s="11">
        <v>3463000000</v>
      </c>
    </row>
    <row r="24" spans="1:2" x14ac:dyDescent="0.25">
      <c r="A24" t="s">
        <v>25</v>
      </c>
      <c r="B24" s="10">
        <f>B22/(B22+B23)</f>
        <v>0.4607692437321374</v>
      </c>
    </row>
    <row r="25" spans="1:2" x14ac:dyDescent="0.25">
      <c r="A25" t="s">
        <v>26</v>
      </c>
      <c r="B25" s="10">
        <f>1-B24</f>
        <v>0.5392307562678627</v>
      </c>
    </row>
    <row r="26" spans="1:2" x14ac:dyDescent="0.25">
      <c r="A26" t="s">
        <v>27</v>
      </c>
      <c r="B26" s="12">
        <f>B24*B20+B25*B21*(1-B8)</f>
        <v>0.06586209158228294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1029000000</v>
      </c>
      <c r="C29" s="8" t="s">
        <v>30</v>
      </c>
    </row>
    <row r="30" spans="1:2" x14ac:dyDescent="0.25">
      <c r="A30" t="s">
        <v>31</v>
      </c>
      <c r="B30" s="11">
        <v>3264000000</v>
      </c>
    </row>
    <row r="31" spans="1:2" x14ac:dyDescent="0.25">
      <c r="A31" t="s">
        <v>32</v>
      </c>
      <c r="B31" s="13">
        <v>434000000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0.01639635681485352</v>
      </c>
      <c r="C5" s="10">
        <f>Assumptions!B6</f>
        <v>0.01639635681485352</v>
      </c>
      <c r="D5" s="10">
        <f>Assumptions!B6</f>
        <v>0.01639635681485352</v>
      </c>
      <c r="E5" s="10">
        <f>Assumptions!B6</f>
        <v>0.01639635681485352</v>
      </c>
      <c r="F5" s="10">
        <f>Assumptions!B6</f>
        <v>0.01639635681485352</v>
      </c>
    </row>
    <row r="6" spans="1:6" x14ac:dyDescent="0.25">
      <c r="A6" t="s">
        <v>43</v>
      </c>
      <c r="B6" s="18">
        <f>Assumptions!B29*(1+B5)</f>
        <v>1045871851.1624843</v>
      </c>
      <c r="C6" s="18">
        <f>B6*(1+C5)</f>
        <v>1063020339.2167557</v>
      </c>
      <c r="D6" s="18">
        <f>C6*(1+D5)</f>
        <v>1080450000.0000002</v>
      </c>
      <c r="E6" s="18">
        <f>D6*(1+E5)</f>
        <v>1098165443.7206087</v>
      </c>
      <c r="F6" s="18">
        <f>E6*(1+F5)</f>
        <v>1116171356.1775937</v>
      </c>
    </row>
    <row r="7" spans="1:6" x14ac:dyDescent="0.25">
      <c r="A7" t="s">
        <v>5</v>
      </c>
      <c r="B7" s="10">
        <f>Assumptions!B7</f>
        <v>0.2343891274964538</v>
      </c>
      <c r="C7" s="10">
        <f>Assumptions!B7</f>
        <v>0.2343891274964538</v>
      </c>
      <c r="D7" s="10">
        <f>Assumptions!B7</f>
        <v>0.2343891274964538</v>
      </c>
      <c r="E7" s="10">
        <f>Assumptions!B7</f>
        <v>0.2343891274964538</v>
      </c>
      <c r="F7" s="10">
        <f>Assumptions!B7</f>
        <v>0.2343891274964538</v>
      </c>
    </row>
    <row r="8" spans="1:6" x14ac:dyDescent="0.25">
      <c r="A8" t="s">
        <v>44</v>
      </c>
      <c r="B8" s="18">
        <f>B6*B7</f>
        <v>245140990.6670757</v>
      </c>
      <c r="C8" s="18">
        <f>C6*C7</f>
        <v>249160409.81999972</v>
      </c>
      <c r="D8" s="18">
        <f>D6*D7</f>
        <v>253245732.80354357</v>
      </c>
      <c r="E8" s="18">
        <f>E6*E7</f>
        <v>257398040.2004295</v>
      </c>
      <c r="F8" s="18">
        <f>F6*F7</f>
        <v>261618430.31099975</v>
      </c>
    </row>
    <row r="9" spans="1:6" x14ac:dyDescent="0.25">
      <c r="A9" t="s">
        <v>45</v>
      </c>
      <c r="B9" s="18">
        <f>B8*(1-Assumptions!B8)</f>
        <v>171598693.46695298</v>
      </c>
      <c r="C9" s="18">
        <f>C8*(1-Assumptions!B8)</f>
        <v>174412286.8739998</v>
      </c>
      <c r="D9" s="18">
        <f>D8*(1-Assumptions!B8)</f>
        <v>177272012.9624805</v>
      </c>
      <c r="E9" s="18">
        <f>E8*(1-Assumptions!B8)</f>
        <v>180178628.14030063</v>
      </c>
      <c r="F9" s="18">
        <f>F8*(1-Assumptions!B8)</f>
        <v>183132901.21769983</v>
      </c>
    </row>
    <row r="10" spans="1:6" x14ac:dyDescent="0.25">
      <c r="A10" t="s">
        <v>46</v>
      </c>
      <c r="B10" s="18">
        <f>B6*Assumptions!B9</f>
        <v>476264752.71787655</v>
      </c>
      <c r="C10" s="18">
        <f>C6*Assumptions!B9</f>
        <v>484073759.54177684</v>
      </c>
      <c r="D10" s="18">
        <f>D6*Assumptions!B9</f>
        <v>492010805.62793136</v>
      </c>
      <c r="E10" s="18">
        <f>E6*Assumptions!B9</f>
        <v>500077990.3537705</v>
      </c>
      <c r="F10" s="18">
        <f>F6*Assumptions!B9</f>
        <v>508277447.51886576</v>
      </c>
    </row>
    <row r="11" spans="1:6" x14ac:dyDescent="0.25">
      <c r="A11" t="s">
        <v>47</v>
      </c>
      <c r="B11" s="18">
        <f>-B6*Assumptions!B10</f>
        <v>-450791740.0961285</v>
      </c>
      <c r="C11" s="18">
        <f>-C6*Assumptions!B10</f>
        <v>-458183082.31593335</v>
      </c>
      <c r="D11" s="18">
        <f>-D6*Assumptions!B10</f>
        <v>-465695615.62011474</v>
      </c>
      <c r="E11" s="18">
        <f>-E6*Assumptions!B10</f>
        <v>-473331327.10093504</v>
      </c>
      <c r="F11" s="18">
        <f>-F6*Assumptions!B10</f>
        <v>-481092236.4317301</v>
      </c>
    </row>
    <row r="12" spans="1:6" x14ac:dyDescent="0.25">
      <c r="A12" t="s">
        <v>48</v>
      </c>
      <c r="B12" s="18">
        <f>-(B6-Assumptions!B29)*Assumptions!B11</f>
        <v>1494974.1536378483</v>
      </c>
      <c r="C12" s="18">
        <f>-(C6-B6)*Assumptions!B11</f>
        <v>1519486.283289876</v>
      </c>
      <c r="D12" s="18">
        <f>-(D6-C6)*Assumptions!B11</f>
        <v>1544400.3225659674</v>
      </c>
      <c r="E12" s="18">
        <f>-(E6-D6)*Assumptions!B11</f>
        <v>1569722.8613197382</v>
      </c>
      <c r="F12" s="18">
        <f>-(F6-E6)*Assumptions!B11</f>
        <v>1595460.5974543667</v>
      </c>
    </row>
    <row r="13" spans="1:6" x14ac:dyDescent="0.25">
      <c r="A13" s="19" t="s">
        <v>49</v>
      </c>
      <c r="B13" s="20">
        <f>B9+B10+B11+B12</f>
        <v>198566680.2423388</v>
      </c>
      <c r="C13" s="20">
        <f>C9+C10+C11+C12</f>
        <v>201822450.38313314</v>
      </c>
      <c r="D13" s="20">
        <f>D9+D10+D11+D12</f>
        <v>205131603.29286313</v>
      </c>
      <c r="E13" s="20">
        <f>E9+E10+E11+E12</f>
        <v>208495014.25445583</v>
      </c>
      <c r="F13" s="20">
        <f>F9+F10+F11+F12</f>
        <v>211913572.90228987</v>
      </c>
    </row>
    <row r="14" spans="1:6" x14ac:dyDescent="0.25">
      <c r="A14" t="s">
        <v>50</v>
      </c>
      <c r="B14" s="21">
        <f>1/(1+Assumptions!$B$26)^(1-0.5*Assumptions!$B$32)</f>
        <v>0.9686112119243186</v>
      </c>
      <c r="C14" s="21">
        <f>1/(1+Assumptions!$B$26)^(2-0.5*Assumptions!$B$32)</f>
        <v>0.9087584778312227</v>
      </c>
      <c r="D14" s="21">
        <f>1/(1+Assumptions!$B$26)^(3-0.5*Assumptions!$B$32)</f>
        <v>0.8526041830441324</v>
      </c>
      <c r="E14" s="21">
        <f>1/(1+Assumptions!$B$26)^(4-0.5*Assumptions!$B$32)</f>
        <v>0.7999197924174534</v>
      </c>
      <c r="F14" s="21">
        <f>1/(1+Assumptions!$B$26)^(5-0.5*Assumptions!$B$32)</f>
        <v>0.7504908925224693</v>
      </c>
    </row>
    <row r="15" spans="1:6" x14ac:dyDescent="0.25">
      <c r="A15" s="19" t="s">
        <v>51</v>
      </c>
      <c r="B15" s="20">
        <f>B13*B14</f>
        <v>192333912.79732046</v>
      </c>
      <c r="C15" s="20">
        <f>C13*C14</f>
        <v>183407862.80234355</v>
      </c>
      <c r="D15" s="20">
        <f>D13*D14</f>
        <v>174896063.04204464</v>
      </c>
      <c r="E15" s="20">
        <f>E13*E14</f>
        <v>166779288.52249828</v>
      </c>
      <c r="F15" s="20">
        <f>F13*F14</f>
        <v>159039206.46506488</v>
      </c>
    </row>
    <row r="17" spans="1:2" x14ac:dyDescent="0.25">
      <c r="A17" s="22" t="s">
        <v>52</v>
      </c>
      <c r="B17" s="23">
        <f>SUM(B15:F15)</f>
        <v>876456333.6292717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211913572.90228987</v>
      </c>
    </row>
    <row r="5" spans="1:2" x14ac:dyDescent="0.25">
      <c r="A5" t="s">
        <v>56</v>
      </c>
      <c r="B5" s="18">
        <f>IF(Assumptions!$B$33=0,B4,B4-Forecast!F11-Forecast!F10-Forecast!F12)</f>
        <v>183132901.21769983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0.379581021485887</v>
      </c>
    </row>
    <row r="7" spans="1:2" x14ac:dyDescent="0.25">
      <c r="A7" t="s">
        <v>58</v>
      </c>
      <c r="B7" s="18">
        <f>-MAX(Forecast!F9,0)*B6</f>
        <v>-69513773.71188854</v>
      </c>
    </row>
    <row r="8" spans="1:2" x14ac:dyDescent="0.25">
      <c r="A8" t="s">
        <v>59</v>
      </c>
      <c r="B8" s="18">
        <f>IF(OR(Assumptions!$B$33=0,Assumptions!B12&lt;=0),B5,MAX(B5+B7,0))</f>
        <v>113619127.50581129</v>
      </c>
    </row>
    <row r="9" spans="1:2" x14ac:dyDescent="0.25">
      <c r="A9" t="s">
        <v>60</v>
      </c>
      <c r="B9" s="18">
        <f>B8*(1+Assumptions!B12)/(Assumptions!B26-Assumptions!B12)</f>
        <v>2850064722.1874304</v>
      </c>
    </row>
    <row r="10" spans="1:2" x14ac:dyDescent="0.25">
      <c r="A10" t="s">
        <v>61</v>
      </c>
      <c r="B10" s="18">
        <f>B9/(1+Assumptions!B26)^(5-0.5*Assumptions!B32)</f>
        <v>2138947617.101248</v>
      </c>
    </row>
    <row r="11" spans="1:2" x14ac:dyDescent="0.25">
      <c r="A11" t="s">
        <v>62</v>
      </c>
      <c r="B11" s="18">
        <f>Forecast!B17+B10</f>
        <v>3015403950.73052</v>
      </c>
    </row>
    <row r="12" spans="1:2" x14ac:dyDescent="0.25">
      <c r="A12" t="s">
        <v>63</v>
      </c>
      <c r="B12" s="18">
        <f>-Assumptions!B30</f>
        <v>-3264000000</v>
      </c>
    </row>
    <row r="13" spans="1:2" x14ac:dyDescent="0.25">
      <c r="A13" t="s">
        <v>64</v>
      </c>
      <c r="B13" s="18">
        <f>B11+B12</f>
        <v>-248596049.26948023</v>
      </c>
    </row>
    <row r="14" spans="1:2" x14ac:dyDescent="0.25">
      <c r="A14" s="19" t="s">
        <v>65</v>
      </c>
      <c r="B14" s="24">
        <f>B13/Assumptions!B31</f>
        <v>-0.5728019568421203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769895877.8298655</v>
      </c>
    </row>
    <row r="18" spans="1:2" x14ac:dyDescent="0.25">
      <c r="A18" t="s">
        <v>60</v>
      </c>
      <c r="B18" s="18">
        <f>B17*Assumptions!B13</f>
        <v>6599377179.9084635</v>
      </c>
    </row>
    <row r="19" spans="1:2" x14ac:dyDescent="0.25">
      <c r="A19" t="s">
        <v>61</v>
      </c>
      <c r="B19" s="18">
        <f>B18/(1+Assumptions!B26)^(5-0.5*Assumptions!B32)</f>
        <v>4952772469.841919</v>
      </c>
    </row>
    <row r="20" spans="1:2" x14ac:dyDescent="0.25">
      <c r="A20" t="s">
        <v>62</v>
      </c>
      <c r="B20" s="18">
        <f>Forecast!B17+B19</f>
        <v>5829228803.47119</v>
      </c>
    </row>
    <row r="21" spans="1:2" x14ac:dyDescent="0.25">
      <c r="A21" t="s">
        <v>63</v>
      </c>
      <c r="B21" s="18">
        <f>-Assumptions!B30</f>
        <v>-3264000000</v>
      </c>
    </row>
    <row r="22" spans="1:2" x14ac:dyDescent="0.25">
      <c r="A22" t="s">
        <v>64</v>
      </c>
      <c r="B22" s="18">
        <f>B20+B21</f>
        <v>2565228803.4711905</v>
      </c>
    </row>
    <row r="23" spans="1:2" x14ac:dyDescent="0.25">
      <c r="A23" s="19" t="s">
        <v>65</v>
      </c>
      <c r="B23" s="25">
        <f>B22/Assumptions!B31</f>
        <v>5.910665445786153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6.82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-0.4601318119312753</v>
      </c>
    </row>
    <row r="29" spans="1:2" x14ac:dyDescent="0.25">
      <c r="A29" s="19" t="s">
        <v>73</v>
      </c>
      <c r="B29" s="12">
        <f>B28/B26-1</f>
        <v>-1.0674680076145564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0.045862</v>
      </c>
      <c r="B5" s="31">
        <v>2.2259271418094326</v>
      </c>
      <c r="C5" s="31">
        <v>2.263524638819233</v>
      </c>
      <c r="D5" s="31">
        <v>2.301122135829031</v>
      </c>
      <c r="E5" s="31">
        <v>2.338719632838829</v>
      </c>
      <c r="F5" s="31">
        <v>2.3763171298486276</v>
      </c>
    </row>
    <row r="6" spans="1:6" x14ac:dyDescent="0.25">
      <c r="A6" s="30">
        <v>0.055862</v>
      </c>
      <c r="B6" s="31">
        <v>0.5485917674188053</v>
      </c>
      <c r="C6" s="31">
        <v>0.5781649421662779</v>
      </c>
      <c r="D6" s="31">
        <v>0.6077381169137505</v>
      </c>
      <c r="E6" s="31">
        <v>0.6373112916612229</v>
      </c>
      <c r="F6" s="31">
        <v>0.6668844664086966</v>
      </c>
    </row>
    <row r="7" spans="1:6" x14ac:dyDescent="0.25">
      <c r="A7" s="30">
        <v>0.065862</v>
      </c>
      <c r="B7" s="31">
        <v>-0.6208753124108161</v>
      </c>
      <c r="C7" s="31">
        <v>-0.5968340466090742</v>
      </c>
      <c r="D7" s="32">
        <v>-0.5727927808073348</v>
      </c>
      <c r="E7" s="31">
        <v>-0.548751515005594</v>
      </c>
      <c r="F7" s="31">
        <v>-0.5247102492038556</v>
      </c>
    </row>
    <row r="8" spans="1:6" x14ac:dyDescent="0.25">
      <c r="A8" s="30">
        <v>0.075862</v>
      </c>
      <c r="B8" s="31">
        <v>-1.4832396249890294</v>
      </c>
      <c r="C8" s="31">
        <v>-1.4632263664833456</v>
      </c>
      <c r="D8" s="31">
        <v>-1.4432131079776618</v>
      </c>
      <c r="E8" s="31">
        <v>-1.4231998494719778</v>
      </c>
      <c r="F8" s="31">
        <v>-1.403186590966295</v>
      </c>
    </row>
    <row r="9" spans="1:6" x14ac:dyDescent="0.25">
      <c r="A9" s="30">
        <v>0.085862</v>
      </c>
      <c r="B9" s="31">
        <v>-2.1457417569839525</v>
      </c>
      <c r="C9" s="31">
        <v>-2.1287804313580376</v>
      </c>
      <c r="D9" s="31">
        <v>-2.111819105732126</v>
      </c>
      <c r="E9" s="31">
        <v>-2.0948577801062114</v>
      </c>
      <c r="F9" s="31">
        <v>-2.0778964544802996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1029000000</v>
      </c>
      <c r="C5" s="18">
        <v>950000000</v>
      </c>
      <c r="D5" s="18">
        <v>1010000000</v>
      </c>
      <c r="E5" s="18">
        <v>980000000</v>
      </c>
      <c r="F5" s="8" t="s">
        <v>84</v>
      </c>
    </row>
    <row r="6" spans="1:6" x14ac:dyDescent="0.25">
      <c r="A6" t="s">
        <v>44</v>
      </c>
      <c r="B6" s="18">
        <v>290000000</v>
      </c>
      <c r="C6" s="18">
        <v>180000000</v>
      </c>
      <c r="D6" s="18">
        <v>238000000</v>
      </c>
      <c r="E6" s="18">
        <v>226000000</v>
      </c>
      <c r="F6" s="8" t="s">
        <v>85</v>
      </c>
    </row>
    <row r="7" spans="1:6" x14ac:dyDescent="0.25">
      <c r="A7" t="s">
        <v>86</v>
      </c>
      <c r="B7" s="18">
        <v>436000000</v>
      </c>
      <c r="C7" s="18">
        <v>461000000</v>
      </c>
      <c r="D7" s="18">
        <v>462000000</v>
      </c>
      <c r="E7" s="18">
        <v>446000000</v>
      </c>
      <c r="F7" s="8" t="s">
        <v>87</v>
      </c>
    </row>
    <row r="8" spans="1:6" x14ac:dyDescent="0.25">
      <c r="A8" t="s">
        <v>88</v>
      </c>
      <c r="B8" s="18">
        <v>374000000</v>
      </c>
      <c r="C8" s="18">
        <v>397000000</v>
      </c>
      <c r="D8" s="18">
        <v>442000000</v>
      </c>
      <c r="E8" s="18">
        <v>495000000</v>
      </c>
      <c r="F8" s="8" t="s">
        <v>89</v>
      </c>
    </row>
    <row r="9" spans="1:6" x14ac:dyDescent="0.25">
      <c r="A9" t="s">
        <v>90</v>
      </c>
      <c r="B9" s="18">
        <v>-7000000</v>
      </c>
      <c r="C9" s="18">
        <v>43000000</v>
      </c>
      <c r="D9" s="18">
        <v>52000000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3463000000</v>
      </c>
      <c r="C10" s="18">
        <v>3300000000</v>
      </c>
      <c r="D10" s="18">
        <v>2797000000</v>
      </c>
      <c r="E10" s="18">
        <v>2709000000</v>
      </c>
      <c r="F10" s="8" t="s">
        <v>93</v>
      </c>
    </row>
    <row r="11" spans="1:6" x14ac:dyDescent="0.25">
      <c r="A11" t="s">
        <v>94</v>
      </c>
      <c r="B11" s="18">
        <v>199000000</v>
      </c>
      <c r="C11" s="18">
        <v>81000000</v>
      </c>
      <c r="D11" s="18">
        <v>45000000</v>
      </c>
      <c r="E11" s="18">
        <v>76000000</v>
      </c>
      <c r="F11" s="8" t="s">
        <v>95</v>
      </c>
    </row>
    <row r="12" spans="1:6" x14ac:dyDescent="0.25">
      <c r="A12" t="s">
        <v>32</v>
      </c>
      <c r="B12" s="34">
        <v>434000000</v>
      </c>
      <c r="C12" s="34">
        <v>540540541</v>
      </c>
      <c r="D12" s="34">
        <v>435000000</v>
      </c>
      <c r="E12" s="34">
        <v>555555556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2026-09-19T00:08:18Z</dcterms:modified>
</cp:coreProperties>
</file>