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<sst xmlns="http://schemas.openxmlformats.org/spreadsheetml/2006/main" count="113" uniqueCount="101">
  <si>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Chorus Limited (CNU.NZ)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</si>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</sst>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0.01639635681485352</v>
      </c>
    </row>
    <row r="7" spans="1:2" x14ac:dyDescent="0.25">
      <c r="A7" t="s">
        <v>5</v>
      </c>
      <c r="B7" s="6">
        <v>0.2343891274964538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0.4553758208412525</v>
      </c>
    </row>
    <row r="10" spans="1:2" x14ac:dyDescent="0.25">
      <c r="A10" t="s">
        <v>8</v>
      </c>
      <c r="B10" s="6">
        <v>0.431020052404197</v>
      </c>
    </row>
    <row r="11" spans="1:2" x14ac:dyDescent="0.25">
      <c r="A11" t="s">
        <v>9</v>
      </c>
      <c r="B11" s="6">
        <v>-0.08860759493670886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9.58179191184573</v>
      </c>
    </row>
    <row r="14" spans="1:3" x14ac:dyDescent="0.25">
      <c r="A14" t="s">
        <v>12</v>
      </c>
      <c r="B14" s="6">
        <v>0.06607556797549292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0.59867</v>
      </c>
      <c r="C19" s="8" t="s">
        <v>19</v>
      </c>
    </row>
    <row r="20" spans="1:2" x14ac:dyDescent="0.25">
      <c r="A20" t="s">
        <v>20</v>
      </c>
      <c r="B20" s="10">
        <f>B17+B19*B18</f>
        <v>0.08391355</v>
      </c>
    </row>
    <row r="21" spans="1:3" x14ac:dyDescent="0.25">
      <c r="A21" t="s">
        <v>21</v>
      </c>
      <c r="B21" s="6">
        <v>0.06535561141505249</v>
      </c>
      <c r="C21" s="8" t="s">
        <v>22</v>
      </c>
    </row>
    <row r="22" spans="1:2" x14ac:dyDescent="0.25">
      <c r="A22" t="s">
        <v>23</v>
      </c>
      <c r="B22" s="11">
        <v>3692380928</v>
      </c>
    </row>
    <row r="23" spans="1:2" x14ac:dyDescent="0.25">
      <c r="A23" t="s">
        <v>24</v>
      </c>
      <c r="B23" s="11">
        <v>3463000000</v>
      </c>
    </row>
    <row r="24" spans="1:2" x14ac:dyDescent="0.25">
      <c r="A24" t="s">
        <v>25</v>
      </c>
      <c r="B24" s="10">
        <f>B22/(B22+B23)</f>
        <v>0.5160285616033663</v>
      </c>
    </row>
    <row r="25" spans="1:2" x14ac:dyDescent="0.25">
      <c r="A25" t="s">
        <v>26</v>
      </c>
      <c r="B25" s="10">
        <f>1-B24</f>
        <v>0.4839714383966337</v>
      </c>
    </row>
    <row r="26" spans="1:2" x14ac:dyDescent="0.25">
      <c r="A26" t="s">
        <v>27</v>
      </c>
      <c r="B26" s="12">
        <f>B24*B20+B25*B21*(1-B8)</f>
        <v>0.06607556797549292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1029000000</v>
      </c>
      <c r="C29" s="8" t="s">
        <v>30</v>
      </c>
    </row>
    <row r="30" spans="1:2" x14ac:dyDescent="0.25">
      <c r="A30" t="s">
        <v>31</v>
      </c>
      <c r="B30" s="11">
        <v>3264000000</v>
      </c>
    </row>
    <row r="31" spans="1:2" x14ac:dyDescent="0.25">
      <c r="A31" t="s">
        <v>32</v>
      </c>
      <c r="B31" s="13">
        <v>434000000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0.01639635681485352</v>
      </c>
      <c r="C5" s="10">
        <f>Assumptions!B6</f>
        <v>0.01639635681485352</v>
      </c>
      <c r="D5" s="10">
        <f>Assumptions!B6</f>
        <v>0.01639635681485352</v>
      </c>
      <c r="E5" s="10">
        <f>Assumptions!B6</f>
        <v>0.01639635681485352</v>
      </c>
      <c r="F5" s="10">
        <f>Assumptions!B6</f>
        <v>0.01639635681485352</v>
      </c>
    </row>
    <row r="6" spans="1:6" x14ac:dyDescent="0.25">
      <c r="A6" t="s">
        <v>43</v>
      </c>
      <c r="B6" s="18">
        <f>Assumptions!B29*(1+B5)</f>
        <v>1045871851.1624843</v>
      </c>
      <c r="C6" s="18">
        <f>B6*(1+C5)</f>
        <v>1063020339.2167557</v>
      </c>
      <c r="D6" s="18">
        <f>C6*(1+D5)</f>
        <v>1080450000.0000002</v>
      </c>
      <c r="E6" s="18">
        <f>D6*(1+E5)</f>
        <v>1098165443.7206087</v>
      </c>
      <c r="F6" s="18">
        <f>E6*(1+F5)</f>
        <v>1116171356.1775937</v>
      </c>
    </row>
    <row r="7" spans="1:6" x14ac:dyDescent="0.25">
      <c r="A7" t="s">
        <v>5</v>
      </c>
      <c r="B7" s="10">
        <f>Assumptions!B7</f>
        <v>0.2343891274964538</v>
      </c>
      <c r="C7" s="10">
        <f>Assumptions!B7</f>
        <v>0.2343891274964538</v>
      </c>
      <c r="D7" s="10">
        <f>Assumptions!B7</f>
        <v>0.2343891274964538</v>
      </c>
      <c r="E7" s="10">
        <f>Assumptions!B7</f>
        <v>0.2343891274964538</v>
      </c>
      <c r="F7" s="10">
        <f>Assumptions!B7</f>
        <v>0.2343891274964538</v>
      </c>
    </row>
    <row r="8" spans="1:6" x14ac:dyDescent="0.25">
      <c r="A8" t="s">
        <v>44</v>
      </c>
      <c r="B8" s="18">
        <f>B6*B7</f>
        <v>245140990.6670757</v>
      </c>
      <c r="C8" s="18">
        <f>C6*C7</f>
        <v>249160409.81999972</v>
      </c>
      <c r="D8" s="18">
        <f>D6*D7</f>
        <v>253245732.80354357</v>
      </c>
      <c r="E8" s="18">
        <f>E6*E7</f>
        <v>257398040.2004295</v>
      </c>
      <c r="F8" s="18">
        <f>F6*F7</f>
        <v>261618430.31099975</v>
      </c>
    </row>
    <row r="9" spans="1:6" x14ac:dyDescent="0.25">
      <c r="A9" t="s">
        <v>45</v>
      </c>
      <c r="B9" s="18">
        <f>B8*(1-Assumptions!B8)</f>
        <v>176501513.2802945</v>
      </c>
      <c r="C9" s="18">
        <f>C8*(1-Assumptions!B8)</f>
        <v>179395495.0703998</v>
      </c>
      <c r="D9" s="18">
        <f>D8*(1-Assumptions!B8)</f>
        <v>182336927.61855137</v>
      </c>
      <c r="E9" s="18">
        <f>E8*(1-Assumptions!B8)</f>
        <v>185326588.94430923</v>
      </c>
      <c r="F9" s="18">
        <f>F8*(1-Assumptions!B8)</f>
        <v>188365269.8239198</v>
      </c>
    </row>
    <row r="10" spans="1:6" x14ac:dyDescent="0.25">
      <c r="A10" t="s">
        <v>46</v>
      </c>
      <c r="B10" s="18">
        <f>B6*Assumptions!B9</f>
        <v>476264752.71787655</v>
      </c>
      <c r="C10" s="18">
        <f>C6*Assumptions!B9</f>
        <v>484073759.54177684</v>
      </c>
      <c r="D10" s="18">
        <f>D6*Assumptions!B9</f>
        <v>492010805.62793136</v>
      </c>
      <c r="E10" s="18">
        <f>E6*Assumptions!B9</f>
        <v>500077990.3537705</v>
      </c>
      <c r="F10" s="18">
        <f>F6*Assumptions!B9</f>
        <v>508277447.51886576</v>
      </c>
    </row>
    <row r="11" spans="1:6" x14ac:dyDescent="0.25">
      <c r="A11" t="s">
        <v>47</v>
      </c>
      <c r="B11" s="18">
        <f>-B6*Assumptions!B10</f>
        <v>-450791740.0961285</v>
      </c>
      <c r="C11" s="18">
        <f>-C6*Assumptions!B10</f>
        <v>-458183082.31593335</v>
      </c>
      <c r="D11" s="18">
        <f>-D6*Assumptions!B10</f>
        <v>-465695615.62011474</v>
      </c>
      <c r="E11" s="18">
        <f>-E6*Assumptions!B10</f>
        <v>-473331327.10093504</v>
      </c>
      <c r="F11" s="18">
        <f>-F6*Assumptions!B10</f>
        <v>-481092236.4317301</v>
      </c>
    </row>
    <row r="12" spans="1:6" x14ac:dyDescent="0.25">
      <c r="A12" t="s">
        <v>48</v>
      </c>
      <c r="B12" s="18">
        <f>-(B6-Assumptions!B29)*Assumptions!B11</f>
        <v>1494974.1536378483</v>
      </c>
      <c r="C12" s="18">
        <f>-(C6-B6)*Assumptions!B11</f>
        <v>1519486.283289876</v>
      </c>
      <c r="D12" s="18">
        <f>-(D6-C6)*Assumptions!B11</f>
        <v>1544400.3225659674</v>
      </c>
      <c r="E12" s="18">
        <f>-(E6-D6)*Assumptions!B11</f>
        <v>1569722.8613197382</v>
      </c>
      <c r="F12" s="18">
        <f>-(F6-E6)*Assumptions!B11</f>
        <v>1595460.5974543667</v>
      </c>
    </row>
    <row r="13" spans="1:6" x14ac:dyDescent="0.25">
      <c r="A13" s="19" t="s">
        <v>49</v>
      </c>
      <c r="B13" s="20">
        <f>B9+B10+B11+B12</f>
        <v>203469500.05568042</v>
      </c>
      <c r="C13" s="20">
        <f>C9+C10+C11+C12</f>
        <v>206805658.5795332</v>
      </c>
      <c r="D13" s="20">
        <f>D9+D10+D11+D12</f>
        <v>210196517.94893396</v>
      </c>
      <c r="E13" s="20">
        <f>E9+E10+E11+E12</f>
        <v>213642975.05846444</v>
      </c>
      <c r="F13" s="20">
        <f>F9+F10+F11+F12</f>
        <v>217145941.50850987</v>
      </c>
    </row>
    <row r="14" spans="1:6" x14ac:dyDescent="0.25">
      <c r="A14" t="s">
        <v>50</v>
      </c>
      <c r="B14" s="21">
        <f>1/(1+Assumptions!$B$26)^(1-0.5*Assumptions!$B$32)</f>
        <v>0.9685142272514475</v>
      </c>
      <c r="C14" s="21">
        <f>1/(1+Assumptions!$B$26)^(2-0.5*Assumptions!$B$32)</f>
        <v>0.9084855298679089</v>
      </c>
      <c r="D14" s="21">
        <f>1/(1+Assumptions!$B$26)^(3-0.5*Assumptions!$B$32)</f>
        <v>0.8521774226503925</v>
      </c>
      <c r="E14" s="21">
        <f>1/(1+Assumptions!$B$26)^(4-0.5*Assumptions!$B$32)</f>
        <v>0.7993593027075003</v>
      </c>
      <c r="F14" s="21">
        <f>1/(1+Assumptions!$B$26)^(5-0.5*Assumptions!$B$32)</f>
        <v>0.7498148599592297</v>
      </c>
    </row>
    <row r="15" spans="1:6" x14ac:dyDescent="0.25">
      <c r="A15" s="19" t="s">
        <v>51</v>
      </c>
      <c r="B15" s="20">
        <f>B13*B14</f>
        <v>197063105.61566567</v>
      </c>
      <c r="C15" s="20">
        <f>C13*C14</f>
        <v>187879948.31430906</v>
      </c>
      <c r="D15" s="20">
        <f>D13*D14</f>
        <v>179124726.9158095</v>
      </c>
      <c r="E15" s="20">
        <f>E13*E14</f>
        <v>170777499.57109</v>
      </c>
      <c r="F15" s="20">
        <f>F13*F14</f>
        <v>162819253.72291842</v>
      </c>
    </row>
    <row r="17" spans="1:2" x14ac:dyDescent="0.25">
      <c r="A17" s="22" t="s">
        <v>52</v>
      </c>
      <c r="B17" s="23">
        <f>SUM(B15:F15)</f>
        <v>897664534.1397926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217145941.50850987</v>
      </c>
    </row>
    <row r="5" spans="1:2" x14ac:dyDescent="0.25">
      <c r="A5" t="s">
        <v>56</v>
      </c>
      <c r="B5" s="18">
        <f>IF(Assumptions!$B$33=0,B4,B4-Forecast!F11-Forecast!F10-Forecast!F12)</f>
        <v>188365269.8239198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0.37835467429159847</v>
      </c>
    </row>
    <row r="7" spans="1:2" x14ac:dyDescent="0.25">
      <c r="A7" t="s">
        <v>58</v>
      </c>
      <c r="B7" s="18">
        <f>-MAX(Forecast!F9,0)*B6</f>
        <v>-71268880.31207824</v>
      </c>
    </row>
    <row r="8" spans="1:2" x14ac:dyDescent="0.25">
      <c r="A8" t="s">
        <v>59</v>
      </c>
      <c r="B8" s="18">
        <f>IF(OR(Assumptions!$B$33=0,Assumptions!B12&lt;=0),B5,MAX(B5+B7,0))</f>
        <v>117096389.51184157</v>
      </c>
    </row>
    <row r="9" spans="1:2" x14ac:dyDescent="0.25">
      <c r="A9" t="s">
        <v>60</v>
      </c>
      <c r="B9" s="18">
        <f>B8*(1+Assumptions!B12)/(Assumptions!B26-Assumptions!B12)</f>
        <v>2922024092.7952075</v>
      </c>
    </row>
    <row r="10" spans="1:2" x14ac:dyDescent="0.25">
      <c r="A10" t="s">
        <v>61</v>
      </c>
      <c r="B10" s="18">
        <f>B9/(1+Assumptions!B26)^(5-0.5*Assumptions!B32)</f>
        <v>2190977085.9367337</v>
      </c>
    </row>
    <row r="11" spans="1:2" x14ac:dyDescent="0.25">
      <c r="A11" t="s">
        <v>62</v>
      </c>
      <c r="B11" s="18">
        <f>Forecast!B17+B10</f>
        <v>3088641620.076526</v>
      </c>
    </row>
    <row r="12" spans="1:2" x14ac:dyDescent="0.25">
      <c r="A12" t="s">
        <v>63</v>
      </c>
      <c r="B12" s="18">
        <f>-Assumptions!B30</f>
        <v>-3264000000</v>
      </c>
    </row>
    <row r="13" spans="1:2" x14ac:dyDescent="0.25">
      <c r="A13" t="s">
        <v>64</v>
      </c>
      <c r="B13" s="18">
        <f>B11+B12</f>
        <v>-175358379.92347383</v>
      </c>
    </row>
    <row r="14" spans="1:2" x14ac:dyDescent="0.25">
      <c r="A14" s="19" t="s">
        <v>65</v>
      </c>
      <c r="B14" s="24">
        <f>B13/Assumptions!B31</f>
        <v>-0.4040515666439489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769895877.8298655</v>
      </c>
    </row>
    <row r="18" spans="1:2" x14ac:dyDescent="0.25">
      <c r="A18" t="s">
        <v>60</v>
      </c>
      <c r="B18" s="18">
        <f>B17*Assumptions!B13</f>
        <v>7376982095.153573</v>
      </c>
    </row>
    <row r="19" spans="1:2" x14ac:dyDescent="0.25">
      <c r="A19" t="s">
        <v>61</v>
      </c>
      <c r="B19" s="18">
        <f>B18/(1+Assumptions!B26)^(5-0.5*Assumptions!B32)</f>
        <v>5531370796.599321</v>
      </c>
    </row>
    <row r="20" spans="1:2" x14ac:dyDescent="0.25">
      <c r="A20" t="s">
        <v>62</v>
      </c>
      <c r="B20" s="18">
        <f>Forecast!B17+B19</f>
        <v>6429035330.739114</v>
      </c>
    </row>
    <row r="21" spans="1:2" x14ac:dyDescent="0.25">
      <c r="A21" t="s">
        <v>63</v>
      </c>
      <c r="B21" s="18">
        <f>-Assumptions!B30</f>
        <v>-3264000000</v>
      </c>
    </row>
    <row r="22" spans="1:2" x14ac:dyDescent="0.25">
      <c r="A22" t="s">
        <v>64</v>
      </c>
      <c r="B22" s="18">
        <f>B20+B21</f>
        <v>3165035330.739114</v>
      </c>
    </row>
    <row r="23" spans="1:2" x14ac:dyDescent="0.25">
      <c r="A23" s="19" t="s">
        <v>65</v>
      </c>
      <c r="B23" s="25">
        <f>B22/Assumptions!B31</f>
        <v>7.29270813534358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-0.4040515666439489</v>
      </c>
    </row>
    <row r="29" spans="1:2" x14ac:dyDescent="0.25">
      <c r="A29" s="19" t="s">
        <v>73</v>
      </c>
      <c r="B29" s="12">
        <f>B28/B26-1</f>
        <v>-1.0474796200521679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0.046076</v>
      </c>
      <c r="B5" s="31">
        <v>2.5001206769123208</v>
      </c>
      <c r="C5" s="31">
        <v>2.567616545777899</v>
      </c>
      <c r="D5" s="31">
        <v>2.6491263432843346</v>
      </c>
      <c r="E5" s="31">
        <v>2.7577260167825277</v>
      </c>
      <c r="F5" s="31">
        <v>2.9301028306166677</v>
      </c>
    </row>
    <row r="6" spans="1:6" x14ac:dyDescent="0.25">
      <c r="A6" s="30">
        <v>0.056076</v>
      </c>
      <c r="B6" s="31">
        <v>0.7409156498889352</v>
      </c>
      <c r="C6" s="31">
        <v>0.7711900677364949</v>
      </c>
      <c r="D6" s="31">
        <v>0.8014644855840491</v>
      </c>
      <c r="E6" s="31">
        <v>0.8317389034316078</v>
      </c>
      <c r="F6" s="31">
        <v>0.8620133212791665</v>
      </c>
    </row>
    <row r="7" spans="1:6" x14ac:dyDescent="0.25">
      <c r="A7" s="30">
        <v>0.066076</v>
      </c>
      <c r="B7" s="31">
        <v>-0.45334742596409505</v>
      </c>
      <c r="C7" s="31">
        <v>-0.42872161091169236</v>
      </c>
      <c r="D7" s="32">
        <v>-0.4040957958592918</v>
      </c>
      <c r="E7" s="31">
        <v>-0.3794699808068891</v>
      </c>
      <c r="F7" s="31">
        <v>-0.35484416575448746</v>
      </c>
    </row>
    <row r="8" spans="1:6" x14ac:dyDescent="0.25">
      <c r="A8" s="30">
        <v>0.076076</v>
      </c>
      <c r="B8" s="31">
        <v>-1.3348454614198395</v>
      </c>
      <c r="C8" s="31">
        <v>-1.3143366645723027</v>
      </c>
      <c r="D8" s="31">
        <v>-1.2938278677247659</v>
      </c>
      <c r="E8" s="31">
        <v>-1.273319070877229</v>
      </c>
      <c r="F8" s="31">
        <v>-1.2528102740296923</v>
      </c>
    </row>
    <row r="9" spans="1:6" x14ac:dyDescent="0.25">
      <c r="A9" s="30">
        <v>0.086076</v>
      </c>
      <c r="B9" s="31">
        <v>-2.0125263533598794</v>
      </c>
      <c r="C9" s="31">
        <v>-1.995139217231043</v>
      </c>
      <c r="D9" s="31">
        <v>-1.9777520811022076</v>
      </c>
      <c r="E9" s="31">
        <v>-1.960364944973371</v>
      </c>
      <c r="F9" s="31">
        <v>-1.9429778088445355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1029000000</v>
      </c>
      <c r="C5" s="18">
        <v>950000000</v>
      </c>
      <c r="D5" s="18">
        <v>1010000000</v>
      </c>
      <c r="E5" s="18">
        <v>980000000</v>
      </c>
      <c r="F5" s="8" t="s">
        <v>84</v>
      </c>
    </row>
    <row r="6" spans="1:6" x14ac:dyDescent="0.25">
      <c r="A6" t="s">
        <v>44</v>
      </c>
      <c r="B6" s="18">
        <v>290000000</v>
      </c>
      <c r="C6" s="18">
        <v>180000000</v>
      </c>
      <c r="D6" s="18">
        <v>238000000</v>
      </c>
      <c r="E6" s="18">
        <v>226000000</v>
      </c>
      <c r="F6" s="8" t="s">
        <v>85</v>
      </c>
    </row>
    <row r="7" spans="1:6" x14ac:dyDescent="0.25">
      <c r="A7" t="s">
        <v>86</v>
      </c>
      <c r="B7" s="18">
        <v>436000000</v>
      </c>
      <c r="C7" s="18">
        <v>461000000</v>
      </c>
      <c r="D7" s="18">
        <v>462000000</v>
      </c>
      <c r="E7" s="18">
        <v>446000000</v>
      </c>
      <c r="F7" s="8" t="s">
        <v>87</v>
      </c>
    </row>
    <row r="8" spans="1:6" x14ac:dyDescent="0.25">
      <c r="A8" t="s">
        <v>88</v>
      </c>
      <c r="B8" s="18">
        <v>374000000</v>
      </c>
      <c r="C8" s="18">
        <v>397000000</v>
      </c>
      <c r="D8" s="18">
        <v>442000000</v>
      </c>
      <c r="E8" s="18">
        <v>495000000</v>
      </c>
      <c r="F8" s="8" t="s">
        <v>89</v>
      </c>
    </row>
    <row r="9" spans="1:6" x14ac:dyDescent="0.25">
      <c r="A9" t="s">
        <v>90</v>
      </c>
      <c r="B9" s="18">
        <v>-7000000</v>
      </c>
      <c r="C9" s="18">
        <v>43000000</v>
      </c>
      <c r="D9" s="18">
        <v>52000000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3463000000</v>
      </c>
      <c r="C10" s="18">
        <v>3300000000</v>
      </c>
      <c r="D10" s="18">
        <v>2797000000</v>
      </c>
      <c r="E10" s="18">
        <v>2709000000</v>
      </c>
      <c r="F10" s="8" t="s">
        <v>93</v>
      </c>
    </row>
    <row r="11" spans="1:6" x14ac:dyDescent="0.25">
      <c r="A11" t="s">
        <v>94</v>
      </c>
      <c r="B11" s="18">
        <v>199000000</v>
      </c>
      <c r="C11" s="18">
        <v>81000000</v>
      </c>
      <c r="D11" s="18">
        <v>45000000</v>
      </c>
      <c r="E11" s="18">
        <v>76000000</v>
      </c>
      <c r="F11" s="8" t="s">
        <v>95</v>
      </c>
    </row>
    <row r="12" spans="1:6" x14ac:dyDescent="0.25">
      <c r="A12" t="s">
        <v>32</v>
      </c>
      <c r="B12" s="34">
        <v>434000000</v>
      </c>
      <c r="C12" s="34">
        <v>540540541</v>
      </c>
      <c r="D12" s="34">
        <v>435000000</v>
      </c>
      <c r="E12" s="34">
        <v>555555556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2026-09-19T00:10:28Z</dcterms:modified>
</cp:coreProperties>
</file>