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<sst xmlns="http://schemas.openxmlformats.org/spreadsheetml/2006/main" count="114" uniqueCount="102">
  <si>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Coal India Limited (COALINDIA.NS)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</si>
  <si>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</si>
  <si>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</si>
  <si>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</si>
  <si>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</si>
  <si>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</si>
  <si>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</si>
  <si>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</si>
  <si>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</si>
  <si>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</si>
  <si>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</si>
  <si>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</si>
  <si>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</si>
  <si>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</si>
  <si>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</si>
  <si>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</si>
  <si>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INR assumption - no free live source available for this market</t>
  </si>
  <si>
    <t>Equity risk premium</t>
  </si>
  <si>
    <t>Beta</t>
  </si>
  <si>
    <t>Clamped from a reported -0.047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</si>
  <si>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</si>
  <si>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</si>
  <si>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</si>
  <si>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</si>
  <si>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</si>
  <si>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</si>
  <si>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</si>
  <si>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</si>
  <si>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</si>
  <si>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</si>
  <si>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</si>
  <si>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</si>
  <si>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</si>
  <si>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</si>
  <si>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</si>
  <si>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</si>
  <si>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</si>
  <si>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</si>
  <si>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</si>
  <si>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</si>
  <si>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</si>
  <si>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</si>
  <si>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</si>
  <si>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</si>
  <si>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</si>
  <si>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</si>
  <si>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</si>
  <si>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</si>
  <si>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</si>
  <si>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</si>
  <si>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</si>
  <si>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</si>
  <si>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</si>
  <si>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</si>
  <si>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</si>
  <si>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</si>
  <si>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</si>
  <si>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</si>
  <si>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</si>
  <si>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</si>
  <si>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</si>
  <si>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</si>
  <si>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</si>
  <si>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</si>
  <si>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</si>
  <si>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</si>
  <si>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</si>
  <si>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</si>
  <si>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</si>
  <si>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</si>
  <si>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</si>
  <si>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</si>
  <si>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</si>
  <si>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</si>
  <si>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</si>
  <si>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</si>
  <si>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</si>
  <si>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</si>
  <si>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</si>
  <si>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</si>
  <si>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</si>
  <si>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</si>
  <si>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</si>
  <si>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</si>
  <si>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</si>
  <si>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</si>
  <si>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</si>
  <si>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</si>
  <si>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</si>
  <si>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</si>
  <si>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</si>
  <si>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</si>
  <si>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</si>
  <si>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</si>
  <si>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</si>
  <si>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</si>
  <si>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</si>
  <si>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</si>
  <si>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Beta of -0.047 is not usable in a cost of equity. Clamped to 0.30.</t>
  </si>
  <si>
    <t>Adjusted: Capital expenditure runs at 10.3% of revenue against depreciation of 5.6%. A perpetuity has to be a steady state, so the terminal year uses maintenance capex at depreciation and then charges the reinvestment terminal growth requires (g/ROIC of NOPAT). The bridge is shown under Terminal Value.</t>
  </si>
  <si>
    <t>Note: Risk-free rate is an assumption: INR assumption - no free live source available for this market.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</si>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</sst>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0.09305839675105099</v>
      </c>
    </row>
    <row r="7" spans="1:2" x14ac:dyDescent="0.25">
      <c r="A7" t="s">
        <v>5</v>
      </c>
      <c r="B7" s="6">
        <v>0.2623957154487016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0.055678508272330285</v>
      </c>
    </row>
    <row r="10" spans="1:2" x14ac:dyDescent="0.25">
      <c r="A10" t="s">
        <v>8</v>
      </c>
      <c r="B10" s="6">
        <v>0.10346945486777265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4.939848431042764</v>
      </c>
    </row>
    <row r="14" spans="1:3" x14ac:dyDescent="0.25">
      <c r="A14" t="s">
        <v>12</v>
      </c>
      <c r="B14" s="6">
        <v>0.30299620173629943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0.3</v>
      </c>
      <c r="C19" s="8" t="s">
        <v>19</v>
      </c>
    </row>
    <row r="20" spans="1:2" x14ac:dyDescent="0.25">
      <c r="A20" t="s">
        <v>20</v>
      </c>
      <c r="B20" s="10">
        <f>B17+B19*B18</f>
        <v>0.092</v>
      </c>
    </row>
    <row r="21" spans="1:3" x14ac:dyDescent="0.25">
      <c r="A21" t="s">
        <v>21</v>
      </c>
      <c r="B21" s="6">
        <v>0.0738800348524049</v>
      </c>
      <c r="C21" s="8" t="s">
        <v>22</v>
      </c>
    </row>
    <row r="22" spans="1:2" x14ac:dyDescent="0.25">
      <c r="A22" t="s">
        <v>23</v>
      </c>
      <c r="B22" s="11">
        <v>2526102421504</v>
      </c>
    </row>
    <row r="23" spans="1:2" x14ac:dyDescent="0.25">
      <c r="A23" t="s">
        <v>24</v>
      </c>
      <c r="B23" s="11">
        <v>140721800000</v>
      </c>
    </row>
    <row r="24" spans="1:2" x14ac:dyDescent="0.25">
      <c r="A24" t="s">
        <v>25</v>
      </c>
      <c r="B24" s="10">
        <f>B22/(B22+B23)</f>
        <v>0.9472324426689669</v>
      </c>
    </row>
    <row r="25" spans="1:2" x14ac:dyDescent="0.25">
      <c r="A25" t="s">
        <v>26</v>
      </c>
      <c r="B25" s="10">
        <f>1-B24</f>
        <v>0.05276755733103311</v>
      </c>
    </row>
    <row r="26" spans="1:2" x14ac:dyDescent="0.25">
      <c r="A26" t="s">
        <v>27</v>
      </c>
      <c r="B26" s="12">
        <f>B24*B20+B25*B21*(1-B8)</f>
        <v>0.09006143951861531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1664173000000</v>
      </c>
      <c r="C29" s="8" t="s">
        <v>30</v>
      </c>
    </row>
    <row r="30" spans="1:2" x14ac:dyDescent="0.25">
      <c r="A30" t="s">
        <v>31</v>
      </c>
      <c r="B30" s="11">
        <v>-460767600000</v>
      </c>
    </row>
    <row r="31" spans="1:2" x14ac:dyDescent="0.25">
      <c r="A31" t="s">
        <v>32</v>
      </c>
      <c r="B31" s="13">
        <v>6162728327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0.09305839675105099</v>
      </c>
      <c r="C5" s="10">
        <f>Assumptions!B6</f>
        <v>0.09305839675105099</v>
      </c>
      <c r="D5" s="10">
        <f>Assumptions!B6</f>
        <v>0.09305839675105099</v>
      </c>
      <c r="E5" s="10">
        <f>Assumptions!B6</f>
        <v>0.09305839675105099</v>
      </c>
      <c r="F5" s="10">
        <f>Assumptions!B6</f>
        <v>0.09305839675105099</v>
      </c>
    </row>
    <row r="6" spans="1:6" x14ac:dyDescent="0.25">
      <c r="A6" t="s">
        <v>43</v>
      </c>
      <c r="B6" s="18">
        <f>Assumptions!B29*(1+B5)</f>
        <v>1819038271296.3867</v>
      </c>
      <c r="C6" s="18">
        <f>B6*(1+C5)</f>
        <v>1988315056452.0317</v>
      </c>
      <c r="D6" s="18">
        <f>C6*(1+D5)</f>
        <v>2173344467841.4333</v>
      </c>
      <c r="E6" s="18">
        <f>D6*(1+E5)</f>
        <v>2375592419606.5234</v>
      </c>
      <c r="F6" s="18">
        <f>E6*(1+F5)</f>
        <v>2596661241509.0566</v>
      </c>
    </row>
    <row r="7" spans="1:6" x14ac:dyDescent="0.25">
      <c r="A7" t="s">
        <v>5</v>
      </c>
      <c r="B7" s="10">
        <f>Assumptions!B7</f>
        <v>0.2623957154487016</v>
      </c>
      <c r="C7" s="10">
        <f>Assumptions!B7</f>
        <v>0.2623957154487016</v>
      </c>
      <c r="D7" s="10">
        <f>Assumptions!B7</f>
        <v>0.2623957154487016</v>
      </c>
      <c r="E7" s="10">
        <f>Assumptions!B7</f>
        <v>0.2623957154487016</v>
      </c>
      <c r="F7" s="10">
        <f>Assumptions!B7</f>
        <v>0.2623957154487016</v>
      </c>
    </row>
    <row r="8" spans="1:6" x14ac:dyDescent="0.25">
      <c r="A8" t="s">
        <v>44</v>
      </c>
      <c r="B8" s="18">
        <f>B6*B7</f>
        <v>477307848625.38477</v>
      </c>
      <c r="C8" s="18">
        <f>C6*C7</f>
        <v>521725351775.1564</v>
      </c>
      <c r="D8" s="18">
        <f>D6*D7</f>
        <v>570276276555.7306</v>
      </c>
      <c r="E8" s="18">
        <f>E6*E7</f>
        <v>623345272557.1659</v>
      </c>
      <c r="F8" s="18">
        <f>F6*F7</f>
        <v>681352784243.6826</v>
      </c>
    </row>
    <row r="9" spans="1:6" x14ac:dyDescent="0.25">
      <c r="A9" t="s">
        <v>45</v>
      </c>
      <c r="B9" s="18">
        <f>B8*(1-Assumptions!B8)</f>
        <v>357026270771.7878</v>
      </c>
      <c r="C9" s="18">
        <f>C8*(1-Assumptions!B8)</f>
        <v>390250563127.81696</v>
      </c>
      <c r="D9" s="18">
        <f>D8*(1-Assumptions!B8)</f>
        <v>426566654863.68646</v>
      </c>
      <c r="E9" s="18">
        <f>E8*(1-Assumptions!B8)</f>
        <v>466262263872.7601</v>
      </c>
      <c r="F9" s="18">
        <f>F8*(1-Assumptions!B8)</f>
        <v>509651882614.2746</v>
      </c>
    </row>
    <row r="10" spans="1:6" x14ac:dyDescent="0.25">
      <c r="A10" t="s">
        <v>46</v>
      </c>
      <c r="B10" s="18">
        <f>B6*Assumptions!B9</f>
        <v>101281337436.06125</v>
      </c>
      <c r="C10" s="18">
        <f>C6*Assumptions!B9</f>
        <v>110706416318.6633</v>
      </c>
      <c r="D10" s="18">
        <f>D6*Assumptions!B9</f>
        <v>121008577931.3325</v>
      </c>
      <c r="E10" s="18">
        <f>E6*Assumptions!B9</f>
        <v>132269442186.74693</v>
      </c>
      <c r="F10" s="18">
        <f>F6*Assumptions!B9</f>
        <v>144578224415.80145</v>
      </c>
    </row>
    <row r="11" spans="1:6" x14ac:dyDescent="0.25">
      <c r="A11" t="s">
        <v>47</v>
      </c>
      <c r="B11" s="18">
        <f>-B6*Assumptions!B10</f>
        <v>-188214898314.65265</v>
      </c>
      <c r="C11" s="18">
        <f>-C6*Assumptions!B10</f>
        <v>-205729874996.47632</v>
      </c>
      <c r="D11" s="18">
        <f>-D6*Assumptions!B10</f>
        <v>-224874767327.44254</v>
      </c>
      <c r="E11" s="18">
        <f>-E6*Assumptions!B10</f>
        <v>-245801252644.7</v>
      </c>
      <c r="F11" s="18">
        <f>-F6*Assumptions!B10</f>
        <v>-268675123135.21582</v>
      </c>
    </row>
    <row r="12" spans="1:6" x14ac:dyDescent="0.25">
      <c r="A12" t="s">
        <v>48</v>
      </c>
      <c r="B12" s="18">
        <f>-(B6-Assumptions!B29)*Assumptions!B11</f>
        <v>154865271296.38672</v>
      </c>
      <c r="C12" s="18">
        <f>-(C6-B6)*Assumptions!B11</f>
        <v>169276785155.64502</v>
      </c>
      <c r="D12" s="18">
        <f>-(D6-C6)*Assumptions!B11</f>
        <v>185029411389.4016</v>
      </c>
      <c r="E12" s="18">
        <f>-(E6-D6)*Assumptions!B11</f>
        <v>202247951765.0901</v>
      </c>
      <c r="F12" s="18">
        <f>-(F6-E6)*Assumptions!B11</f>
        <v>221068821902.5332</v>
      </c>
    </row>
    <row r="13" spans="1:6" x14ac:dyDescent="0.25">
      <c r="A13" s="19" t="s">
        <v>49</v>
      </c>
      <c r="B13" s="20">
        <f>B9+B10+B11+B12</f>
        <v>424957981189.58307</v>
      </c>
      <c r="C13" s="20">
        <f>C9+C10+C11+C12</f>
        <v>464503889605.6489</v>
      </c>
      <c r="D13" s="20">
        <f>D9+D10+D11+D12</f>
        <v>507729876856.978</v>
      </c>
      <c r="E13" s="20">
        <f>E9+E10+E11+E12</f>
        <v>554978405179.897</v>
      </c>
      <c r="F13" s="20">
        <f>F9+F10+F11+F12</f>
        <v>606623805797.3934</v>
      </c>
    </row>
    <row r="14" spans="1:6" x14ac:dyDescent="0.25">
      <c r="A14" t="s">
        <v>50</v>
      </c>
      <c r="B14" s="21">
        <f>1/(1+Assumptions!$B$26)^(1-0.5*Assumptions!$B$32)</f>
        <v>0.9577992916898724</v>
      </c>
      <c r="C14" s="21">
        <f>1/(1+Assumptions!$B$26)^(2-0.5*Assumptions!$B$32)</f>
        <v>0.878665419183022</v>
      </c>
      <c r="D14" s="21">
        <f>1/(1+Assumptions!$B$26)^(3-0.5*Assumptions!$B$32)</f>
        <v>0.8060696281221099</v>
      </c>
      <c r="E14" s="21">
        <f>1/(1+Assumptions!$B$26)^(4-0.5*Assumptions!$B$32)</f>
        <v>0.7394717388389412</v>
      </c>
      <c r="F14" s="21">
        <f>1/(1+Assumptions!$B$26)^(5-0.5*Assumptions!$B$32)</f>
        <v>0.6783762015886933</v>
      </c>
    </row>
    <row r="15" spans="1:6" x14ac:dyDescent="0.25">
      <c r="A15" s="19" t="s">
        <v>51</v>
      </c>
      <c r="B15" s="20">
        <f>B13*B14</f>
        <v>407024453381.3408</v>
      </c>
      <c r="C15" s="20">
        <f>C13*C14</f>
        <v>408143504872.4917</v>
      </c>
      <c r="D15" s="20">
        <f>D13*D14</f>
        <v>409265633024.5889</v>
      </c>
      <c r="E15" s="20">
        <f>E13*E14</f>
        <v>410390846296.4409</v>
      </c>
      <c r="F15" s="20">
        <f>F13*F14</f>
        <v>411519153170.1129</v>
      </c>
    </row>
    <row r="17" spans="1:2" x14ac:dyDescent="0.25">
      <c r="A17" s="22" t="s">
        <v>52</v>
      </c>
      <c r="B17" s="23">
        <f>SUM(B15:F15)</f>
        <v>2046343590744.975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606623805797.3934</v>
      </c>
    </row>
    <row r="5" spans="1:2" x14ac:dyDescent="0.25">
      <c r="A5" t="s">
        <v>56</v>
      </c>
      <c r="B5" s="18">
        <f>IF(Assumptions!$B$33=0,B4,B4-Forecast!F11-Forecast!F10-Forecast!F12)</f>
        <v>512035752437.95624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0.08250928512218693</v>
      </c>
    </row>
    <row r="7" spans="1:2" x14ac:dyDescent="0.25">
      <c r="A7" t="s">
        <v>58</v>
      </c>
      <c r="B7" s="18">
        <f>-MAX(Forecast!F9,0)*B6</f>
        <v>-42247703890.65685</v>
      </c>
    </row>
    <row r="8" spans="1:2" x14ac:dyDescent="0.25">
      <c r="A8" t="s">
        <v>59</v>
      </c>
      <c r="B8" s="18">
        <f>IF(OR(Assumptions!$B$33=0,Assumptions!B12&lt;=0),B5,MAX(B5+B7,0))</f>
        <v>469788048547.2994</v>
      </c>
    </row>
    <row r="9" spans="1:2" x14ac:dyDescent="0.25">
      <c r="A9" t="s">
        <v>60</v>
      </c>
      <c r="B9" s="18">
        <f>B8*(1+Assumptions!B12)/(Assumptions!B26-Assumptions!B12)</f>
        <v>7401200362669.599</v>
      </c>
    </row>
    <row r="10" spans="1:2" x14ac:dyDescent="0.25">
      <c r="A10" t="s">
        <v>61</v>
      </c>
      <c r="B10" s="18">
        <f>B9/(1+Assumptions!B26)^(5-0.5*Assumptions!B32)</f>
        <v>5020798189224.661</v>
      </c>
    </row>
    <row r="11" spans="1:2" x14ac:dyDescent="0.25">
      <c r="A11" t="s">
        <v>62</v>
      </c>
      <c r="B11" s="18">
        <f>Forecast!B17+B10</f>
        <v>7067141779969.637</v>
      </c>
    </row>
    <row r="12" spans="1:2" x14ac:dyDescent="0.25">
      <c r="A12" t="s">
        <v>63</v>
      </c>
      <c r="B12" s="18">
        <f>-Assumptions!B30</f>
        <v>460767600000</v>
      </c>
    </row>
    <row r="13" spans="1:2" x14ac:dyDescent="0.25">
      <c r="A13" t="s">
        <v>64</v>
      </c>
      <c r="B13" s="18">
        <f>B11+B12</f>
        <v>7527909379969.637</v>
      </c>
    </row>
    <row r="14" spans="1:2" x14ac:dyDescent="0.25">
      <c r="A14" s="19" t="s">
        <v>65</v>
      </c>
      <c r="B14" s="24">
        <f>B13/Assumptions!B31</f>
        <v>1221.5221863648503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825931008659.4841</v>
      </c>
    </row>
    <row r="18" spans="1:2" x14ac:dyDescent="0.25">
      <c r="A18" t="s">
        <v>60</v>
      </c>
      <c r="B18" s="18">
        <f>B17*Assumptions!B13</f>
        <v>4079973997276.12</v>
      </c>
    </row>
    <row r="19" spans="1:2" x14ac:dyDescent="0.25">
      <c r="A19" t="s">
        <v>61</v>
      </c>
      <c r="B19" s="18">
        <f>B18/(1+Assumptions!B26)^(5-0.5*Assumptions!B32)</f>
        <v>2767757262852.812</v>
      </c>
    </row>
    <row r="20" spans="1:2" x14ac:dyDescent="0.25">
      <c r="A20" t="s">
        <v>62</v>
      </c>
      <c r="B20" s="18">
        <f>Forecast!B17+B19</f>
        <v>4814100853597.787</v>
      </c>
    </row>
    <row r="21" spans="1:2" x14ac:dyDescent="0.25">
      <c r="A21" t="s">
        <v>63</v>
      </c>
      <c r="B21" s="18">
        <f>-Assumptions!B30</f>
        <v>460767600000</v>
      </c>
    </row>
    <row r="22" spans="1:2" x14ac:dyDescent="0.25">
      <c r="A22" t="s">
        <v>64</v>
      </c>
      <c r="B22" s="18">
        <f>B20+B21</f>
        <v>5274868453597.787</v>
      </c>
    </row>
    <row r="23" spans="1:2" x14ac:dyDescent="0.25">
      <c r="A23" s="19" t="s">
        <v>65</v>
      </c>
      <c r="B23" s="25">
        <f>B22/Assumptions!B31</f>
        <v>855.9307134289302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409.9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1221.5221863648503</v>
      </c>
    </row>
    <row r="29" spans="1:2" x14ac:dyDescent="0.25">
      <c r="A29" s="19" t="s">
        <v>73</v>
      </c>
      <c r="B29" s="12">
        <f>B28/B26-1</f>
        <v>1.9800492470476954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0.070061</v>
      </c>
      <c r="B5" s="31">
        <v>1496.104097815769</v>
      </c>
      <c r="C5" s="31">
        <v>1588.530924622396</v>
      </c>
      <c r="D5" s="31">
        <v>1701.2448945105332</v>
      </c>
      <c r="E5" s="31">
        <v>1841.842102091465</v>
      </c>
      <c r="F5" s="31">
        <v>2022.2517155404257</v>
      </c>
    </row>
    <row r="6" spans="1:6" x14ac:dyDescent="0.25">
      <c r="A6" s="30">
        <v>0.080061</v>
      </c>
      <c r="B6" s="31">
        <v>1285.7781118890098</v>
      </c>
      <c r="C6" s="31">
        <v>1346.48639380677</v>
      </c>
      <c r="D6" s="31">
        <v>1418.0442413157398</v>
      </c>
      <c r="E6" s="31">
        <v>1503.7025579909214</v>
      </c>
      <c r="F6" s="31">
        <v>1608.155137522937</v>
      </c>
    </row>
    <row r="7" spans="1:6" x14ac:dyDescent="0.25">
      <c r="A7" s="30">
        <v>0.090061</v>
      </c>
      <c r="B7" s="31">
        <v>1131.2545596550685</v>
      </c>
      <c r="C7" s="31">
        <v>1173.237111843486</v>
      </c>
      <c r="D7" s="32">
        <v>1221.5295037619762</v>
      </c>
      <c r="E7" s="31">
        <v>1277.707593220951</v>
      </c>
      <c r="F7" s="31">
        <v>1343.9196423861395</v>
      </c>
    </row>
    <row r="8" spans="1:6" x14ac:dyDescent="0.25">
      <c r="A8" s="30">
        <v>0.100061</v>
      </c>
      <c r="B8" s="31">
        <v>1012.866271362513</v>
      </c>
      <c r="C8" s="31">
        <v>1043.0211495237418</v>
      </c>
      <c r="D8" s="31">
        <v>1077.0744864234603</v>
      </c>
      <c r="E8" s="31">
        <v>1115.8609387333872</v>
      </c>
      <c r="F8" s="31">
        <v>1160.4717397753766</v>
      </c>
    </row>
    <row r="9" spans="1:6" x14ac:dyDescent="0.25">
      <c r="A9" s="30">
        <v>0.110061</v>
      </c>
      <c r="B9" s="31">
        <v>919.2207932361922</v>
      </c>
      <c r="C9" s="31">
        <v>941.5175174439032</v>
      </c>
      <c r="D9" s="31">
        <v>966.3347490263079</v>
      </c>
      <c r="E9" s="31">
        <v>994.1447230369331</v>
      </c>
      <c r="F9" s="31">
        <v>1025.5455015376124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1664173000000</v>
      </c>
      <c r="C5" s="18">
        <v>1662956200000</v>
      </c>
      <c r="D5" s="18">
        <v>1270744100000</v>
      </c>
      <c r="E5" s="18">
        <v>1274290300000</v>
      </c>
      <c r="F5" s="8" t="s">
        <v>84</v>
      </c>
    </row>
    <row r="6" spans="1:6" x14ac:dyDescent="0.25">
      <c r="A6" t="s">
        <v>44</v>
      </c>
      <c r="B6" s="18">
        <v>316605900000</v>
      </c>
      <c r="C6" s="18">
        <v>396346500000</v>
      </c>
      <c r="D6" s="18">
        <v>413412300000</v>
      </c>
      <c r="E6" s="18">
        <v>376763400000</v>
      </c>
      <c r="F6" s="8" t="s">
        <v>85</v>
      </c>
    </row>
    <row r="7" spans="1:6" x14ac:dyDescent="0.25">
      <c r="A7" t="s">
        <v>86</v>
      </c>
      <c r="B7" s="18">
        <v>101490900000</v>
      </c>
      <c r="C7" s="18">
        <v>91073900000</v>
      </c>
      <c r="D7" s="18">
        <v>67444900000</v>
      </c>
      <c r="E7" s="18">
        <v>68667500000</v>
      </c>
      <c r="F7" s="8" t="s">
        <v>87</v>
      </c>
    </row>
    <row r="8" spans="1:6" x14ac:dyDescent="0.25">
      <c r="A8" t="s">
        <v>88</v>
      </c>
      <c r="B8" s="18">
        <v>124996400000</v>
      </c>
      <c r="C8" s="18">
        <v>143321400000</v>
      </c>
      <c r="D8" s="18">
        <v>168213400000</v>
      </c>
      <c r="E8" s="18">
        <v>153181100000</v>
      </c>
      <c r="F8" s="8" t="s">
        <v>89</v>
      </c>
    </row>
    <row r="9" spans="1:6" x14ac:dyDescent="0.25">
      <c r="A9" t="s">
        <v>90</v>
      </c>
      <c r="B9" s="18">
        <v>-81039500000</v>
      </c>
      <c r="C9" s="18">
        <v>26971900000</v>
      </c>
      <c r="D9" s="18">
        <v>186219500000</v>
      </c>
      <c r="E9" s="18">
        <v>-26519400000</v>
      </c>
      <c r="F9" s="8" t="s">
        <v>91</v>
      </c>
    </row>
    <row r="10" spans="1:6" x14ac:dyDescent="0.25">
      <c r="A10" t="s">
        <v>92</v>
      </c>
      <c r="B10" s="18">
        <v>140721800000</v>
      </c>
      <c r="C10" s="18">
        <v>91457300000</v>
      </c>
      <c r="D10" s="18">
        <v>65230300000</v>
      </c>
      <c r="E10" s="18">
        <v>43314200000</v>
      </c>
      <c r="F10" s="8" t="s">
        <v>93</v>
      </c>
    </row>
    <row r="11" spans="1:6" x14ac:dyDescent="0.25">
      <c r="A11" t="s">
        <v>94</v>
      </c>
      <c r="B11" s="18">
        <v>601489400000</v>
      </c>
      <c r="C11" s="18">
        <v>398663400000</v>
      </c>
      <c r="D11" s="18">
        <v>361847800000</v>
      </c>
      <c r="E11" s="18">
        <v>431114400000</v>
      </c>
      <c r="F11" s="8" t="s">
        <v>95</v>
      </c>
    </row>
    <row r="12" spans="1:6" x14ac:dyDescent="0.25">
      <c r="A12" t="s">
        <v>32</v>
      </c>
      <c r="B12" s="34">
        <v>6162728327</v>
      </c>
      <c r="C12" s="34">
        <v>6162728327</v>
      </c>
      <c r="D12" s="34">
        <v>6162728327</v>
      </c>
      <c r="E12" s="34">
        <v>6162728327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2026-09-19T00:09:59Z</dcterms:modified>
</cp:coreProperties>
</file>