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<sst xmlns="http://schemas.openxmlformats.org/spreadsheetml/2006/main" count="113" uniqueCount="101">
  <si>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Capital One Financial Corporation (COF)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</si>
  <si>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</si>
  <si>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</si>
  <si>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</si>
  <si>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</si>
  <si>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</si>
  <si>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</si>
  <si>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</si>
  <si>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</si>
  <si>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</si>
  <si>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</si>
  <si>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</si>
  <si>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</si>
  <si>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</si>
  <si>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</si>
  <si>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</si>
  <si>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</si>
  <si>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</si>
  <si>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</si>
  <si>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</si>
  <si>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</si>
  <si>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</si>
  <si>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33.2%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</si>
  <si>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</si>
  <si>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</si>
  <si>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</si>
  <si>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</si>
  <si>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</si>
  <si>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</si>
  <si>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</si>
  <si>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</si>
  <si>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</si>
  <si>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</si>
  <si>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</si>
  <si>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</si>
  <si>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</si>
  <si>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</si>
  <si>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</si>
  <si>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</si>
  <si>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</si>
  <si>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</si>
  <si>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</si>
  <si>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</si>
  <si>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</si>
  <si>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</si>
  <si>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</si>
  <si>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</si>
  <si>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</si>
  <si>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</si>
  <si>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</si>
  <si>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</si>
  <si>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</si>
  <si>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</si>
  <si>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</si>
  <si>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</si>
  <si>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</si>
  <si>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</si>
  <si>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</si>
  <si>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</si>
  <si>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</si>
  <si>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</si>
  <si>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</si>
  <si>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</si>
  <si>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</si>
  <si>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</si>
  <si>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</si>
  <si>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</si>
  <si>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</si>
  <si>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</si>
  <si>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</si>
  <si>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</si>
  <si>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</si>
  <si>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</si>
  <si>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</si>
  <si>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</si>
  <si>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</si>
  <si>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</si>
  <si>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</si>
  <si>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</si>
  <si>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</si>
  <si>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</si>
  <si>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</si>
  <si>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</si>
  <si>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</si>
  <si>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</si>
  <si>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</si>
  <si>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</si>
  <si>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</si>
  <si>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</si>
  <si>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</si>
  <si>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</si>
  <si>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</si>
  <si>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</si>
  <si>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</si>
  <si>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</si>
  <si>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</si>
  <si>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</si>
  <si>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</si>
  <si>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</si>
  <si>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2.84% of revenue against depreciation and amortisation of 9.07%. A business cannot depreciate more than it invests indefinitely. Capex has been set to 9.07%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</si>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</sst>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0.1598069408002154</v>
      </c>
    </row>
    <row r="7" spans="1:2" x14ac:dyDescent="0.25">
      <c r="A7" t="s">
        <v>5</v>
      </c>
      <c r="B7" s="6">
        <v>0.15697451800730045</v>
      </c>
    </row>
    <row r="8" spans="1:2" x14ac:dyDescent="0.25">
      <c r="A8" t="s">
        <v>6</v>
      </c>
      <c r="B8" s="6">
        <v>0.19417419270866135</v>
      </c>
    </row>
    <row r="9" spans="1:2" x14ac:dyDescent="0.25">
      <c r="A9" t="s">
        <v>7</v>
      </c>
      <c r="B9" s="6">
        <v>0.09065454242078706</v>
      </c>
    </row>
    <row r="10" spans="1:2" x14ac:dyDescent="0.25">
      <c r="A10" t="s">
        <v>8</v>
      </c>
      <c r="B10" s="6">
        <v>0.09065454242078706</v>
      </c>
    </row>
    <row r="11" spans="1:2" x14ac:dyDescent="0.25">
      <c r="A11" t="s">
        <v>9</v>
      </c>
      <c r="B11" s="6">
        <v>-0.0890937019969278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15.537294538124916</v>
      </c>
    </row>
    <row r="14" spans="1:3" x14ac:dyDescent="0.25">
      <c r="A14" t="s">
        <v>12</v>
      </c>
      <c r="B14" s="6">
        <v>0.09137031307871757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1.01072</v>
      </c>
      <c r="C19" s="8" t="s">
        <v>19</v>
      </c>
    </row>
    <row r="20" spans="1:2" x14ac:dyDescent="0.25">
      <c r="A20" t="s">
        <v>20</v>
      </c>
      <c r="B20" s="10">
        <f>B17+B19*B18</f>
        <v>0.10556960000000001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124187738112</v>
      </c>
    </row>
    <row r="23" spans="1:2" x14ac:dyDescent="0.25">
      <c r="A23" t="s">
        <v>24</v>
      </c>
      <c r="B23" s="11">
        <v>50413000000</v>
      </c>
    </row>
    <row r="24" spans="1:2" x14ac:dyDescent="0.25">
      <c r="A24" t="s">
        <v>25</v>
      </c>
      <c r="B24" s="10">
        <f>B22/(B22+B23)</f>
        <v>0.7112669708895394</v>
      </c>
    </row>
    <row r="25" spans="1:2" x14ac:dyDescent="0.25">
      <c r="A25" t="s">
        <v>26</v>
      </c>
      <c r="B25" s="10">
        <f>1-B24</f>
        <v>0.2887330291104606</v>
      </c>
    </row>
    <row r="26" spans="1:2" x14ac:dyDescent="0.25">
      <c r="A26" t="s">
        <v>27</v>
      </c>
      <c r="B26" s="12">
        <f>B24*B20+B25*B21*(1-B8)</f>
        <v>0.09137031307871757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53434000000</v>
      </c>
      <c r="C29" s="8" t="s">
        <v>30</v>
      </c>
    </row>
    <row r="30" spans="1:2" x14ac:dyDescent="0.25">
      <c r="A30" t="s">
        <v>31</v>
      </c>
      <c r="B30" s="11">
        <v>-7021000000</v>
      </c>
    </row>
    <row r="31" spans="1:2" x14ac:dyDescent="0.25">
      <c r="A31" t="s">
        <v>32</v>
      </c>
      <c r="B31" s="13">
        <v>541300000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0.1598069408002154</v>
      </c>
      <c r="C5" s="10">
        <f>Assumptions!B6</f>
        <v>0.1598069408002154</v>
      </c>
      <c r="D5" s="10">
        <f>Assumptions!B6</f>
        <v>0.1598069408002154</v>
      </c>
      <c r="E5" s="10">
        <f>Assumptions!B6</f>
        <v>0.1598069408002154</v>
      </c>
      <c r="F5" s="10">
        <f>Assumptions!B6</f>
        <v>0.1598069408002154</v>
      </c>
    </row>
    <row r="6" spans="1:6" x14ac:dyDescent="0.25">
      <c r="A6" t="s">
        <v>43</v>
      </c>
      <c r="B6" s="18">
        <f>Assumptions!B29*(1+B5)</f>
        <v>61973124074.71871</v>
      </c>
      <c r="C6" s="18">
        <f>B6*(1+C5)</f>
        <v>71876859444.93169</v>
      </c>
      <c r="D6" s="18">
        <f>C6*(1+D5)</f>
        <v>83363280467.15329</v>
      </c>
      <c r="E6" s="18">
        <f>D6*(1+E5)</f>
        <v>96685311293.67941</v>
      </c>
      <c r="F6" s="18">
        <f>E6*(1+F5)</f>
        <v>112136295111.83884</v>
      </c>
    </row>
    <row r="7" spans="1:6" x14ac:dyDescent="0.25">
      <c r="A7" t="s">
        <v>5</v>
      </c>
      <c r="B7" s="10">
        <f>Assumptions!B7</f>
        <v>0.15697451800730045</v>
      </c>
      <c r="C7" s="10">
        <f>Assumptions!B7</f>
        <v>0.15697451800730045</v>
      </c>
      <c r="D7" s="10">
        <f>Assumptions!B7</f>
        <v>0.15697451800730045</v>
      </c>
      <c r="E7" s="10">
        <f>Assumptions!B7</f>
        <v>0.15697451800730045</v>
      </c>
      <c r="F7" s="10">
        <f>Assumptions!B7</f>
        <v>0.15697451800730045</v>
      </c>
    </row>
    <row r="8" spans="1:6" x14ac:dyDescent="0.25">
      <c r="A8" t="s">
        <v>44</v>
      </c>
      <c r="B8" s="18">
        <f>B6*B7</f>
        <v>9728201281.035597</v>
      </c>
      <c r="C8" s="18">
        <f>C6*C7</f>
        <v>11282835367.246632</v>
      </c>
      <c r="D8" s="18">
        <f>D6*D7</f>
        <v>13085910770.83879</v>
      </c>
      <c r="E8" s="18">
        <f>E6*E7</f>
        <v>15177130138.711128</v>
      </c>
      <c r="F8" s="18">
        <f>F6*F7</f>
        <v>17602540876.3053</v>
      </c>
    </row>
    <row r="9" spans="1:6" x14ac:dyDescent="0.25">
      <c r="A9" t="s">
        <v>45</v>
      </c>
      <c r="B9" s="18">
        <f>B8*(1-Assumptions!B8)</f>
        <v>7839235650.783145</v>
      </c>
      <c r="C9" s="18">
        <f>C8*(1-Assumptions!B8)</f>
        <v>9091999918.346785</v>
      </c>
      <c r="D9" s="18">
        <f>D8*(1-Assumptions!B8)</f>
        <v>10544964611.053593</v>
      </c>
      <c r="E9" s="18">
        <f>E8*(1-Assumptions!B8)</f>
        <v>12230123146.392601</v>
      </c>
      <c r="F9" s="18">
        <f>F8*(1-Assumptions!B8)</f>
        <v>14184581712.027508</v>
      </c>
    </row>
    <row r="10" spans="1:6" x14ac:dyDescent="0.25">
      <c r="A10" t="s">
        <v>46</v>
      </c>
      <c r="B10" s="18">
        <f>B6*Assumptions!B9</f>
        <v>5618145205.380287</v>
      </c>
      <c r="C10" s="18">
        <f>C6*Assumptions!B9</f>
        <v>6515963803.623508</v>
      </c>
      <c r="D10" s="18">
        <f>D6*Assumptions!B9</f>
        <v>7557260045.445518</v>
      </c>
      <c r="E10" s="18">
        <f>E6*Assumptions!B9</f>
        <v>8764962654.139862</v>
      </c>
      <c r="F10" s="18">
        <f>F6*Assumptions!B9</f>
        <v>10165664522.126091</v>
      </c>
    </row>
    <row r="11" spans="1:6" x14ac:dyDescent="0.25">
      <c r="A11" t="s">
        <v>47</v>
      </c>
      <c r="B11" s="18">
        <f>-B6*Assumptions!B10</f>
        <v>-5618145205.380287</v>
      </c>
      <c r="C11" s="18">
        <f>-C6*Assumptions!B10</f>
        <v>-6515963803.623508</v>
      </c>
      <c r="D11" s="18">
        <f>-D6*Assumptions!B10</f>
        <v>-7557260045.445518</v>
      </c>
      <c r="E11" s="18">
        <f>-E6*Assumptions!B10</f>
        <v>-8764962654.139862</v>
      </c>
      <c r="F11" s="18">
        <f>-F6*Assumptions!B10</f>
        <v>-10165664522.126091</v>
      </c>
    </row>
    <row r="12" spans="1:6" x14ac:dyDescent="0.25">
      <c r="A12" t="s">
        <v>48</v>
      </c>
      <c r="B12" s="18">
        <f>-(B6-Assumptions!B29)*Assumptions!B11</f>
        <v>760782175.6277808</v>
      </c>
      <c r="C12" s="18">
        <f>-(C6-B6)*Assumptions!B11</f>
        <v>882360447.7301881</v>
      </c>
      <c r="D12" s="18">
        <f>-(D6-C6)*Assumptions!B11</f>
        <v>1023367771.5650584</v>
      </c>
      <c r="E12" s="18">
        <f>-(E6-D6)*Assumptions!B11</f>
        <v>1186909044.4524043</v>
      </c>
      <c r="F12" s="18">
        <f>-(F6-E6)*Assumptions!B11</f>
        <v>1376585347.8544495</v>
      </c>
    </row>
    <row r="13" spans="1:6" x14ac:dyDescent="0.25">
      <c r="A13" s="19" t="s">
        <v>49</v>
      </c>
      <c r="B13" s="20">
        <f>B9+B10+B11+B12</f>
        <v>8600017826.410927</v>
      </c>
      <c r="C13" s="20">
        <f>C9+C10+C11+C12</f>
        <v>9974360366.076973</v>
      </c>
      <c r="D13" s="20">
        <f>D9+D10+D11+D12</f>
        <v>11568332382.61865</v>
      </c>
      <c r="E13" s="20">
        <f>E9+E10+E11+E12</f>
        <v>13417032190.845005</v>
      </c>
      <c r="F13" s="20">
        <f>F9+F10+F11+F12</f>
        <v>15561167059.881958</v>
      </c>
    </row>
    <row r="14" spans="1:6" x14ac:dyDescent="0.25">
      <c r="A14" t="s">
        <v>50</v>
      </c>
      <c r="B14" s="21">
        <f>1/(1+Assumptions!$B$26)^(1-0.5*Assumptions!$B$32)</f>
        <v>0.9572247780489005</v>
      </c>
      <c r="C14" s="21">
        <f>1/(1+Assumptions!$B$26)^(2-0.5*Assumptions!$B$32)</f>
        <v>0.877085226323046</v>
      </c>
      <c r="D14" s="21">
        <f>1/(1+Assumptions!$B$26)^(3-0.5*Assumptions!$B$32)</f>
        <v>0.8036550159118944</v>
      </c>
      <c r="E14" s="21">
        <f>1/(1+Assumptions!$B$26)^(4-0.5*Assumptions!$B$32)</f>
        <v>0.7363724359010752</v>
      </c>
      <c r="F14" s="21">
        <f>1/(1+Assumptions!$B$26)^(5-0.5*Assumptions!$B$32)</f>
        <v>0.6747228022208102</v>
      </c>
    </row>
    <row r="15" spans="1:6" x14ac:dyDescent="0.25">
      <c r="A15" s="19" t="s">
        <v>51</v>
      </c>
      <c r="B15" s="20">
        <f>B13*B14</f>
        <v>8232150155.102787</v>
      </c>
      <c r="C15" s="20">
        <f>C13*C14</f>
        <v>8748364119.108242</v>
      </c>
      <c r="D15" s="20">
        <f>D13*D14</f>
        <v>9296948345.027473</v>
      </c>
      <c r="E15" s="20">
        <f>E13*E14</f>
        <v>9879932676.935675</v>
      </c>
      <c r="F15" s="20">
        <f>F13*F14</f>
        <v>10499474244.46972</v>
      </c>
    </row>
    <row r="17" spans="1:2" x14ac:dyDescent="0.25">
      <c r="A17" s="22" t="s">
        <v>52</v>
      </c>
      <c r="B17" s="23">
        <f>SUM(B15:F15)</f>
        <v>46656869540.6439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15561167059.881958</v>
      </c>
    </row>
    <row r="5" spans="1:2" x14ac:dyDescent="0.25">
      <c r="A5" t="s">
        <v>56</v>
      </c>
      <c r="B5" s="18">
        <f>IF(Assumptions!$B$33=0,B4,B4-Forecast!F11-Forecast!F10-Forecast!F12)</f>
        <v>14184581712.027508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0.2736118456600006</v>
      </c>
    </row>
    <row r="7" spans="1:2" x14ac:dyDescent="0.25">
      <c r="A7" t="s">
        <v>58</v>
      </c>
      <c r="B7" s="18">
        <f>-MAX(Forecast!F9,0)*B6</f>
        <v>-3881069582.142937</v>
      </c>
    </row>
    <row r="8" spans="1:2" x14ac:dyDescent="0.25">
      <c r="A8" t="s">
        <v>59</v>
      </c>
      <c r="B8" s="18">
        <f>IF(OR(Assumptions!$B$33=0,Assumptions!B12&lt;=0),B5,MAX(B5+B7,0))</f>
        <v>10303512129.884571</v>
      </c>
    </row>
    <row r="9" spans="1:2" x14ac:dyDescent="0.25">
      <c r="A9" t="s">
        <v>60</v>
      </c>
      <c r="B9" s="18">
        <f>B8*(1+Assumptions!B12)/(Assumptions!B26-Assumptions!B12)</f>
        <v>159123852867.86038</v>
      </c>
    </row>
    <row r="10" spans="1:2" x14ac:dyDescent="0.25">
      <c r="A10" t="s">
        <v>61</v>
      </c>
      <c r="B10" s="18">
        <f>B9/(1+Assumptions!B26)^(5-0.5*Assumptions!B32)</f>
        <v>107364491907.17465</v>
      </c>
    </row>
    <row r="11" spans="1:2" x14ac:dyDescent="0.25">
      <c r="A11" t="s">
        <v>62</v>
      </c>
      <c r="B11" s="18">
        <f>Forecast!B17+B10</f>
        <v>154021361447.81854</v>
      </c>
    </row>
    <row r="12" spans="1:2" x14ac:dyDescent="0.25">
      <c r="A12" t="s">
        <v>63</v>
      </c>
      <c r="B12" s="18">
        <f>-Assumptions!B30</f>
        <v>7021000000</v>
      </c>
    </row>
    <row r="13" spans="1:2" x14ac:dyDescent="0.25">
      <c r="A13" t="s">
        <v>64</v>
      </c>
      <c r="B13" s="18">
        <f>B11+B12</f>
        <v>161042361447.81854</v>
      </c>
    </row>
    <row r="14" spans="1:2" x14ac:dyDescent="0.25">
      <c r="A14" s="19" t="s">
        <v>65</v>
      </c>
      <c r="B14" s="24">
        <f>B13/Assumptions!B31</f>
        <v>297.5103666133725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27768205398.431393</v>
      </c>
    </row>
    <row r="18" spans="1:2" x14ac:dyDescent="0.25">
      <c r="A18" t="s">
        <v>60</v>
      </c>
      <c r="B18" s="18">
        <f>B17*Assumptions!B13</f>
        <v>431442786070.5789</v>
      </c>
    </row>
    <row r="19" spans="1:2" x14ac:dyDescent="0.25">
      <c r="A19" t="s">
        <v>61</v>
      </c>
      <c r="B19" s="18">
        <f>B18/(1+Assumptions!B26)^(5-0.5*Assumptions!B32)</f>
        <v>291104285615.4945</v>
      </c>
    </row>
    <row r="20" spans="1:2" x14ac:dyDescent="0.25">
      <c r="A20" t="s">
        <v>62</v>
      </c>
      <c r="B20" s="18">
        <f>Forecast!B17+B19</f>
        <v>337761155156.1384</v>
      </c>
    </row>
    <row r="21" spans="1:2" x14ac:dyDescent="0.25">
      <c r="A21" t="s">
        <v>63</v>
      </c>
      <c r="B21" s="18">
        <f>-Assumptions!B30</f>
        <v>7021000000</v>
      </c>
    </row>
    <row r="22" spans="1:2" x14ac:dyDescent="0.25">
      <c r="A22" t="s">
        <v>64</v>
      </c>
      <c r="B22" s="18">
        <f>B20+B21</f>
        <v>344782155156.1384</v>
      </c>
    </row>
    <row r="23" spans="1:2" x14ac:dyDescent="0.25">
      <c r="A23" s="19" t="s">
        <v>65</v>
      </c>
      <c r="B23" s="25">
        <f>B22/Assumptions!B31</f>
        <v>636.9520693813753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202.43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297.5103666133725</v>
      </c>
    </row>
    <row r="29" spans="1:2" x14ac:dyDescent="0.25">
      <c r="A29" s="19" t="s">
        <v>73</v>
      </c>
      <c r="B29" s="12">
        <f>B28/B26-1</f>
        <v>0.4696950383508991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0.07137</v>
      </c>
      <c r="B5" s="31">
        <v>376.7534882780553</v>
      </c>
      <c r="C5" s="31">
        <v>378.09967452110055</v>
      </c>
      <c r="D5" s="31">
        <v>379.4458607641457</v>
      </c>
      <c r="E5" s="31">
        <v>380.792047007191</v>
      </c>
      <c r="F5" s="31">
        <v>382.13823325023617</v>
      </c>
    </row>
    <row r="6" spans="1:6" x14ac:dyDescent="0.25">
      <c r="A6" s="30">
        <v>0.08137</v>
      </c>
      <c r="B6" s="31">
        <v>331.1545955406482</v>
      </c>
      <c r="C6" s="31">
        <v>332.286995299996</v>
      </c>
      <c r="D6" s="31">
        <v>333.4193950593438</v>
      </c>
      <c r="E6" s="31">
        <v>334.55179481869163</v>
      </c>
      <c r="F6" s="31">
        <v>335.68419457803935</v>
      </c>
    </row>
    <row r="7" spans="1:6" x14ac:dyDescent="0.25">
      <c r="A7" s="30">
        <v>0.09137</v>
      </c>
      <c r="B7" s="31">
        <v>295.57627861962607</v>
      </c>
      <c r="C7" s="31">
        <v>296.5438228639587</v>
      </c>
      <c r="D7" s="32">
        <v>297.5113671082913</v>
      </c>
      <c r="E7" s="31">
        <v>298.4789113526242</v>
      </c>
      <c r="F7" s="31">
        <v>299.44645559695687</v>
      </c>
    </row>
    <row r="8" spans="1:6" x14ac:dyDescent="0.25">
      <c r="A8" s="30">
        <v>0.10137</v>
      </c>
      <c r="B8" s="31">
        <v>267.0517590059053</v>
      </c>
      <c r="C8" s="31">
        <v>267.8887860155971</v>
      </c>
      <c r="D8" s="31">
        <v>268.7258130252888</v>
      </c>
      <c r="E8" s="31">
        <v>269.5628400349806</v>
      </c>
      <c r="F8" s="31">
        <v>270.3998670446723</v>
      </c>
    </row>
    <row r="9" spans="1:6" x14ac:dyDescent="0.25">
      <c r="A9" s="30">
        <v>0.11137</v>
      </c>
      <c r="B9" s="31">
        <v>243.67985616863905</v>
      </c>
      <c r="C9" s="31">
        <v>244.41135945028606</v>
      </c>
      <c r="D9" s="31">
        <v>245.14286273193292</v>
      </c>
      <c r="E9" s="31">
        <v>245.87436601357993</v>
      </c>
      <c r="F9" s="31">
        <v>246.60586929522688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53434000000</v>
      </c>
      <c r="C5" s="18">
        <v>39112000000</v>
      </c>
      <c r="D5" s="18">
        <v>36787000000</v>
      </c>
      <c r="E5" s="18">
        <v>34250000000</v>
      </c>
      <c r="F5" s="8" t="s">
        <v>84</v>
      </c>
    </row>
    <row r="6" spans="1:6" x14ac:dyDescent="0.25">
      <c r="A6" t="s">
        <v>44</v>
      </c>
      <c r="B6" s="18">
        <v>2281000000</v>
      </c>
      <c r="C6" s="18">
        <v>5910000000</v>
      </c>
      <c r="D6" s="18">
        <v>6045000000</v>
      </c>
      <c r="E6" s="18">
        <v>9240000000</v>
      </c>
      <c r="F6" s="8" t="s">
        <v>85</v>
      </c>
    </row>
    <row r="7" spans="1:6" x14ac:dyDescent="0.25">
      <c r="A7" t="s">
        <v>86</v>
      </c>
      <c r="B7" s="18">
        <v>5260000000</v>
      </c>
      <c r="C7" s="18">
        <v>3237000000</v>
      </c>
      <c r="D7" s="18">
        <v>3226000000</v>
      </c>
      <c r="E7" s="18">
        <v>3210000000</v>
      </c>
      <c r="F7" s="8" t="s">
        <v>87</v>
      </c>
    </row>
    <row r="8" spans="1:6" x14ac:dyDescent="0.25">
      <c r="A8" t="s">
        <v>88</v>
      </c>
      <c r="B8" s="18">
        <v>1578000000</v>
      </c>
      <c r="C8" s="18">
        <v>1204000000</v>
      </c>
      <c r="D8" s="18">
        <v>961000000</v>
      </c>
      <c r="E8" s="18">
        <v>934000000</v>
      </c>
      <c r="F8" s="8" t="s">
        <v>89</v>
      </c>
    </row>
    <row r="9" spans="1:6" x14ac:dyDescent="0.25">
      <c r="A9" t="s">
        <v>90</v>
      </c>
      <c r="B9" s="18">
        <v>-1276000000</v>
      </c>
      <c r="C9" s="18">
        <v>1567000000</v>
      </c>
      <c r="D9" s="18">
        <v>-2325000000</v>
      </c>
      <c r="E9" s="18">
        <v>2857000000</v>
      </c>
      <c r="F9" s="8" t="s">
        <v>91</v>
      </c>
    </row>
    <row r="10" spans="1:6" x14ac:dyDescent="0.25">
      <c r="A10" t="s">
        <v>92</v>
      </c>
      <c r="B10" s="18">
        <v>50413000000</v>
      </c>
      <c r="C10" s="18">
        <v>44989000000</v>
      </c>
      <c r="D10" s="18">
        <v>49318000000</v>
      </c>
      <c r="E10" s="18">
        <v>47832000000</v>
      </c>
      <c r="F10" s="8" t="s">
        <v>93</v>
      </c>
    </row>
    <row r="11" spans="1:6" x14ac:dyDescent="0.25">
      <c r="A11" t="s">
        <v>94</v>
      </c>
      <c r="B11" s="18">
        <v>57434000000</v>
      </c>
      <c r="C11" s="18">
        <v>43230000000</v>
      </c>
      <c r="D11" s="18">
        <v>43297000000</v>
      </c>
      <c r="E11" s="18">
        <v>30856000000</v>
      </c>
      <c r="F11" s="8" t="s">
        <v>95</v>
      </c>
    </row>
    <row r="12" spans="1:6" x14ac:dyDescent="0.25">
      <c r="A12" t="s">
        <v>32</v>
      </c>
      <c r="B12" s="34">
        <v>541300000</v>
      </c>
      <c r="C12" s="34">
        <v>383600000</v>
      </c>
      <c r="D12" s="34">
        <v>383400000</v>
      </c>
      <c r="E12" s="34">
        <v>393200000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70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2026-09-19T00:07:20Z</dcterms:modified>
</cp:coreProperties>
</file>