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<sst xmlns="http://schemas.openxmlformats.org/spreadsheetml/2006/main" count="70" uniqueCount="67">
  <si>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Capital One Financial Corporation (COF)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</si>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</sst>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1.0268000000000002</v>
      </c>
    </row>
    <row r="9" spans="1:2" x14ac:dyDescent="0.25">
      <c r="A9" t="s">
        <v>8</v>
      </c>
      <c r="B9" s="8">
        <f>B6+B8*B7</f>
        <v>0.09237364</v>
      </c>
    </row>
    <row r="10" spans="1:2" x14ac:dyDescent="0.25">
      <c r="A10" t="s">
        <v>9</v>
      </c>
      <c r="B10" s="8">
        <f>MEDIAN('Source data'!B9:E9)</f>
        <v>0.07652051162870767</v>
      </c>
    </row>
    <row r="11" spans="1:2" x14ac:dyDescent="0.25">
      <c r="A11" t="s">
        <v>10</v>
      </c>
      <c r="B11" s="8">
        <f>IFERROR(MIN(MAX(MEDIAN('Source data'!B10:E10),0),1),0)</f>
        <v>0.2609673790776153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113616000000</v>
      </c>
    </row>
    <row r="15" spans="1:2" x14ac:dyDescent="0.25">
      <c r="A15" t="s">
        <v>14</v>
      </c>
      <c r="B15" s="10">
        <f>'Source data'!B8</f>
        <v>541300000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0.05655115426328565</v>
      </c>
    </row>
    <row r="18" spans="1:2" x14ac:dyDescent="0.25">
      <c r="A18" t="s">
        <v>17</v>
      </c>
      <c r="B18" s="8">
        <f>MIN(B10,B12)</f>
        <v>0.07652051162870767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0.07652051162870767</v>
      </c>
      <c r="C22" s="8">
        <f>$B$10+($B$18-$B$10)*C21/$B$16</f>
        <v>0.07652051162870767</v>
      </c>
      <c r="D22" s="8">
        <f>$B$10+($B$18-$B$10)*D21/$B$16</f>
        <v>0.07652051162870767</v>
      </c>
      <c r="E22" s="8">
        <f>$B$10+($B$18-$B$10)*E21/$B$16</f>
        <v>0.07652051162870767</v>
      </c>
      <c r="F22" s="8">
        <f>$B$10+($B$18-$B$10)*F21/$B$16</f>
        <v>0.07652051162870767</v>
      </c>
      <c r="G22" s="8">
        <f>$B$10+($B$18-$B$10)*G21/$B$16</f>
        <v>0.07652051162870767</v>
      </c>
      <c r="H22" s="8">
        <f>$B$10+($B$18-$B$10)*H21/$B$16</f>
        <v>0.07652051162870767</v>
      </c>
      <c r="I22" s="8">
        <f>$B$10+($B$18-$B$10)*I21/$B$16</f>
        <v>0.07652051162870767</v>
      </c>
      <c r="J22" s="8">
        <f>$B$10+($B$18-$B$10)*J21/$B$16</f>
        <v>0.07652051162870767</v>
      </c>
      <c r="K22" s="8">
        <f>$B$10+($B$18-$B$10)*K21/$B$16</f>
        <v>0.07652051162870767</v>
      </c>
    </row>
    <row r="23" spans="1:11" x14ac:dyDescent="0.25">
      <c r="A23" t="s">
        <v>31</v>
      </c>
      <c r="B23" s="8">
        <f>$B$17+($B$13-$B$17)*B21/$B$16</f>
        <v>0.05339603883695709</v>
      </c>
      <c r="C23" s="8">
        <f>$B$17+($B$13-$B$17)*C21/$B$16</f>
        <v>0.05024092341062852</v>
      </c>
      <c r="D23" s="8">
        <f>$B$17+($B$13-$B$17)*D21/$B$16</f>
        <v>0.047085807984299954</v>
      </c>
      <c r="E23" s="8">
        <f>$B$17+($B$13-$B$17)*E21/$B$16</f>
        <v>0.04393069255797139</v>
      </c>
      <c r="F23" s="8">
        <f>$B$17+($B$13-$B$17)*F21/$B$16</f>
        <v>0.04077557713164283</v>
      </c>
      <c r="G23" s="8">
        <f>$B$17+($B$13-$B$17)*G21/$B$16</f>
        <v>0.03762046170531426</v>
      </c>
      <c r="H23" s="8">
        <f>$B$17+($B$13-$B$17)*H21/$B$16</f>
        <v>0.034465346278985697</v>
      </c>
      <c r="I23" s="8">
        <f>$B$17+($B$13-$B$17)*I21/$B$16</f>
        <v>0.031310230852657134</v>
      </c>
      <c r="J23" s="8">
        <f>$B$17+($B$13-$B$17)*J21/$B$16</f>
        <v>0.028155115426328564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113616000000</v>
      </c>
      <c r="C24" s="9">
        <f>B24*(1+B23)</f>
        <v>119682644348.49973</v>
      </c>
      <c r="D24" s="9">
        <f>C24*(1+C23)</f>
        <v>125695610916.79422</v>
      </c>
      <c r="E24" s="9">
        <f>D24*(1+D23)</f>
        <v>131614090316.89166</v>
      </c>
      <c r="F24" s="9">
        <f>E24*(1+E23)</f>
        <v>137395988454.90012</v>
      </c>
      <c r="G24" s="9">
        <f>F24*(1+F23)</f>
        <v>142998389179.72122</v>
      </c>
      <c r="H24" s="9">
        <f>G24*(1+G23)</f>
        <v>148378054603.77856</v>
      </c>
      <c r="I24" s="9">
        <f>H24*(1+H23)</f>
        <v>153491955635.90002</v>
      </c>
      <c r="J24" s="9">
        <f>I24*(1+I23)</f>
        <v>158297824200.88586</v>
      </c>
      <c r="K24" s="9">
        <f>J24*(1+J23)</f>
        <v>162754717712.99847</v>
      </c>
    </row>
    <row r="25" spans="1:11" x14ac:dyDescent="0.25">
      <c r="A25" t="s">
        <v>33</v>
      </c>
      <c r="B25" s="9">
        <f>(B22-$B$9)*B24</f>
        <v>-1801169033.0327504</v>
      </c>
      <c r="C25" s="9">
        <f>(C22-$B$9)*C24</f>
        <v>-1897344324.6724916</v>
      </c>
      <c r="D25" s="9">
        <f>(D22-$B$9)*D24</f>
        <v>-1992668655.5719533</v>
      </c>
      <c r="E25" s="9">
        <f>(E22-$B$9)*E24</f>
        <v>-2086495069.2645473</v>
      </c>
      <c r="F25" s="9">
        <f>(F22-$B$9)*F24</f>
        <v>-2178156242.6761317</v>
      </c>
      <c r="G25" s="9">
        <f>(G22-$B$9)*G24</f>
        <v>-2266971820.554142</v>
      </c>
      <c r="H25" s="9">
        <f>(H22-$B$9)*H24</f>
        <v>-2352256347.116326</v>
      </c>
      <c r="I25" s="9">
        <f>(I22-$B$9)*I24</f>
        <v>-2433327676.6566315</v>
      </c>
      <c r="J25" s="9">
        <f>(J22-$B$9)*J24</f>
        <v>-2509515727.9529104</v>
      </c>
      <c r="K25" s="9">
        <f>(K22-$B$9)*K24</f>
        <v>-2580171432.9376116</v>
      </c>
    </row>
    <row r="26" spans="1:11" x14ac:dyDescent="0.25">
      <c r="A26" t="s">
        <v>34</v>
      </c>
      <c r="B26" s="14">
        <f>1/(1+$B$9)^B21</f>
        <v>0.9154376885183718</v>
      </c>
      <c r="C26" s="14">
        <f>1/(1+$B$9)^C21</f>
        <v>0.8380261615598597</v>
      </c>
      <c r="D26" s="14">
        <f>1/(1+$B$9)^D21</f>
        <v>0.7671607322562816</v>
      </c>
      <c r="E26" s="14">
        <f>1/(1+$B$9)^E21</f>
        <v>0.702287847458752</v>
      </c>
      <c r="F26" s="14">
        <f>1/(1+$B$9)^F21</f>
        <v>0.6429007637521827</v>
      </c>
      <c r="G26" s="14">
        <f>1/(1+$B$9)^G21</f>
        <v>0.5885355891159941</v>
      </c>
      <c r="H26" s="14">
        <f>1/(1+$B$9)^H21</f>
        <v>0.5387676593111439</v>
      </c>
      <c r="I26" s="14">
        <f>1/(1+$B$9)^I21</f>
        <v>0.4932082206882472</v>
      </c>
      <c r="J26" s="14">
        <f>1/(1+$B$9)^J21</f>
        <v>0.45150139350510804</v>
      </c>
      <c r="K26" s="14">
        <f>1/(1+$B$9)^K21</f>
        <v>0.41332139203313994</v>
      </c>
    </row>
    <row r="27" spans="1:11" x14ac:dyDescent="0.25">
      <c r="A27" s="15" t="s">
        <v>35</v>
      </c>
      <c r="B27" s="16">
        <f>B25*B26</f>
        <v>-1648858016.230372</v>
      </c>
      <c r="C27" s="16">
        <f>C25*C26</f>
        <v>-1590024181.5626724</v>
      </c>
      <c r="D27" s="16">
        <f>D25*D26</f>
        <v>-1528697144.9527197</v>
      </c>
      <c r="E27" s="16">
        <f>E25*E26</f>
        <v>-1465320130.9270985</v>
      </c>
      <c r="F27" s="16">
        <f>F25*F26</f>
        <v>-1400338311.9880698</v>
      </c>
      <c r="G27" s="16">
        <f>G25*G26</f>
        <v>-1334193595.9191897</v>
      </c>
      <c r="H27" s="16">
        <f>H25*H26</f>
        <v>-1267319646.2356446</v>
      </c>
      <c r="I27" s="16">
        <f>I25*I26</f>
        <v>-1200137213.7552838</v>
      </c>
      <c r="J27" s="16">
        <f>J25*J26</f>
        <v>-1133049848.1937246</v>
      </c>
      <c r="K27" s="16">
        <f>K25*K26</f>
        <v>-1066440048.345915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113616000000</v>
      </c>
    </row>
    <row r="31" spans="1:2" x14ac:dyDescent="0.25">
      <c r="A31" t="s">
        <v>38</v>
      </c>
      <c r="B31" s="9">
        <f>SUM(B27:K27)</f>
        <v>-13634378138.11069</v>
      </c>
    </row>
    <row r="32" spans="1:2" x14ac:dyDescent="0.25">
      <c r="A32" t="s">
        <v>39</v>
      </c>
      <c r="B32" s="9">
        <f>K24*(1+K23)</f>
        <v>166823585655.82343</v>
      </c>
    </row>
    <row r="33" spans="1:2" x14ac:dyDescent="0.25">
      <c r="A33" t="s">
        <v>40</v>
      </c>
      <c r="B33" s="9">
        <f>(B18-B9)*B32</f>
        <v>-2644675718.7610526</v>
      </c>
    </row>
    <row r="34" spans="1:2" x14ac:dyDescent="0.25">
      <c r="A34" t="s">
        <v>41</v>
      </c>
      <c r="B34" s="9">
        <f>B33/(B9-B13)</f>
        <v>-39253864252.56305</v>
      </c>
    </row>
    <row r="35" spans="1:2" x14ac:dyDescent="0.25">
      <c r="A35" t="s">
        <v>42</v>
      </c>
      <c r="B35" s="9">
        <f>B34*K26</f>
        <v>-16224461815.54927</v>
      </c>
    </row>
    <row r="36" spans="1:2" x14ac:dyDescent="0.25">
      <c r="A36" s="15" t="s">
        <v>43</v>
      </c>
      <c r="B36" s="16">
        <f>B30+B31+B35</f>
        <v>83757160046.34004</v>
      </c>
    </row>
    <row r="37" spans="1:2" x14ac:dyDescent="0.25">
      <c r="A37" s="15" t="s">
        <v>44</v>
      </c>
      <c r="B37" s="17">
        <f>B36/B15</f>
        <v>154.73334573497144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204.85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154.73334573497144</v>
      </c>
    </row>
    <row r="43" spans="1:2" x14ac:dyDescent="0.25">
      <c r="A43" s="15" t="s">
        <v>48</v>
      </c>
      <c r="B43" s="21">
        <f>B42/B40-1</f>
        <v>-0.24465049677826978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2181000000</v>
      </c>
      <c r="C5" s="9">
        <v>4445000000</v>
      </c>
      <c r="D5" s="9">
        <v>4582000000</v>
      </c>
      <c r="E5" s="9">
        <v>7044000000</v>
      </c>
      <c r="F5" s="6" t="s">
        <v>57</v>
      </c>
    </row>
    <row r="6" spans="1:6" x14ac:dyDescent="0.25">
      <c r="A6" t="s">
        <v>37</v>
      </c>
      <c r="B6" s="9">
        <v>113616000000</v>
      </c>
      <c r="C6" s="9">
        <v>60784000000</v>
      </c>
      <c r="D6" s="9">
        <v>58089000000</v>
      </c>
      <c r="E6" s="9">
        <v>52582000000</v>
      </c>
      <c r="F6" s="6" t="s">
        <v>58</v>
      </c>
    </row>
    <row r="7" spans="1:6" x14ac:dyDescent="0.25">
      <c r="A7" t="s">
        <v>59</v>
      </c>
      <c r="B7" s="9">
        <v>1768000000</v>
      </c>
      <c r="C7" s="9">
        <v>1160000000</v>
      </c>
      <c r="D7" s="9">
        <v>1159000000</v>
      </c>
      <c r="E7" s="9">
        <v>1178000000</v>
      </c>
      <c r="F7" s="6" t="s">
        <v>60</v>
      </c>
    </row>
    <row r="8" spans="1:6" x14ac:dyDescent="0.25">
      <c r="A8" t="s">
        <v>14</v>
      </c>
      <c r="B8" s="10">
        <v>541300000</v>
      </c>
      <c r="C8" s="10">
        <v>383600000</v>
      </c>
      <c r="D8" s="10">
        <v>383400000</v>
      </c>
      <c r="E8" s="10">
        <v>393200000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0.03588115293498289</v>
      </c>
      <c r="C9" s="8">
        <f>IF(AND(ISNUMBER(C5),N(D6)&gt;0),C5/D6,"")</f>
        <v>0.07652051162870767</v>
      </c>
      <c r="D9" s="8">
        <f>IF(AND(ISNUMBER(D5),N(E6)&gt;0),D5/E6,"")</f>
        <v>0.08714008596097524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0.8106373223292068</v>
      </c>
      <c r="C10" s="8">
        <f>IF(AND(ISNUMBER(C9),N(C5)&gt;0,ISNUMBER(C7)),C7/C5,"")</f>
        <v>0.2609673790776153</v>
      </c>
      <c r="D10" s="8">
        <f>IF(AND(ISNUMBER(D9),N(D5)&gt;0,ISNUMBER(D7)),D7/D5,"")</f>
        <v>0.2529463116542994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