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<sst xmlns="http://schemas.openxmlformats.org/spreadsheetml/2006/main" count="113" uniqueCount="101">
  <si>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Cochlear Limited (COH.AX)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</si>
  <si>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</si>
  <si>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</si>
  <si>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</si>
  <si>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</si>
  <si>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</si>
  <si>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</si>
  <si>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</si>
  <si>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</si>
  <si>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</si>
  <si>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</si>
  <si>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</si>
  <si>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</si>
  <si>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</si>
  <si>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</si>
  <si>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</si>
  <si>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</si>
  <si>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</si>
  <si>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</si>
  <si>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</si>
  <si>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</si>
  <si>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</si>
  <si>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</si>
  <si>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</si>
  <si>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</si>
  <si>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</si>
  <si>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</si>
  <si>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</si>
  <si>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</si>
  <si>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</si>
  <si>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</si>
  <si>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</si>
  <si>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</si>
  <si>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</si>
  <si>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</si>
  <si>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</si>
  <si>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</si>
  <si>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</si>
  <si>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</si>
  <si>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</si>
  <si>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</si>
  <si>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</si>
  <si>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</si>
  <si>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</si>
  <si>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</si>
  <si>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</si>
  <si>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</si>
  <si>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</si>
  <si>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</si>
  <si>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</si>
  <si>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</si>
  <si>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</si>
  <si>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</si>
  <si>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</si>
  <si>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</si>
  <si>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</si>
  <si>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</si>
  <si>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</si>
  <si>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</si>
  <si>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</si>
  <si>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</si>
  <si>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</si>
  <si>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</si>
  <si>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</si>
  <si>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</si>
  <si>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</si>
  <si>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</si>
  <si>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</si>
  <si>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</si>
  <si>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</si>
  <si>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</si>
  <si>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</si>
  <si>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</si>
  <si>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</si>
  <si>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</si>
  <si>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</si>
  <si>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</si>
  <si>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</si>
  <si>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</si>
  <si>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</si>
  <si>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</si>
  <si>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</si>
  <si>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</si>
  <si>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</si>
  <si>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</si>
  <si>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</si>
  <si>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</si>
  <si>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</si>
  <si>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</si>
  <si>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</si>
  <si>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</si>
  <si>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</si>
  <si>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</si>
  <si>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</si>
  <si>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</si>
  <si>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</si>
  <si>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</si>
  <si>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</si>
  <si>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</si>
  <si>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Current EV/EBITDA of 28.0x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</si>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</sst>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0.06634754139238774</v>
      </c>
    </row>
    <row r="7" spans="1:2" x14ac:dyDescent="0.25">
      <c r="A7" t="s">
        <v>5</v>
      </c>
      <c r="B7" s="6">
        <v>0.15217798021741397</v>
      </c>
    </row>
    <row r="8" spans="1:2" x14ac:dyDescent="0.25">
      <c r="A8" t="s">
        <v>6</v>
      </c>
      <c r="B8" s="6">
        <v>0.25698909331627473</v>
      </c>
    </row>
    <row r="9" spans="1:2" x14ac:dyDescent="0.25">
      <c r="A9" t="s">
        <v>7</v>
      </c>
      <c r="B9" s="6">
        <v>0.040735379911918175</v>
      </c>
    </row>
    <row r="10" spans="1:2" x14ac:dyDescent="0.25">
      <c r="A10" t="s">
        <v>8</v>
      </c>
      <c r="B10" s="6">
        <v>0.04303102469952148</v>
      </c>
    </row>
    <row r="11" spans="1:2" x14ac:dyDescent="0.25">
      <c r="A11" t="s">
        <v>9</v>
      </c>
      <c r="B11" s="6">
        <v>0.281135225375626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0.14361481160898606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0.51291</v>
      </c>
      <c r="C19" s="8" t="s">
        <v>19</v>
      </c>
    </row>
    <row r="20" spans="1:2" x14ac:dyDescent="0.25">
      <c r="A20" t="s">
        <v>20</v>
      </c>
      <c r="B20" s="10">
        <f>B17+B19*B18</f>
        <v>0.0842546</v>
      </c>
    </row>
    <row r="21" spans="1:3" x14ac:dyDescent="0.25">
      <c r="A21" t="s">
        <v>21</v>
      </c>
      <c r="B21" s="6">
        <v>0.058876003568242644</v>
      </c>
      <c r="C21" s="8" t="s">
        <v>22</v>
      </c>
    </row>
    <row r="22" spans="1:2" x14ac:dyDescent="0.25">
      <c r="A22" t="s">
        <v>23</v>
      </c>
      <c r="B22" s="11">
        <v>8756914176</v>
      </c>
    </row>
    <row r="23" spans="1:2" x14ac:dyDescent="0.25">
      <c r="A23" t="s">
        <v>24</v>
      </c>
      <c r="B23" s="11">
        <v>212700000</v>
      </c>
    </row>
    <row r="24" spans="1:2" x14ac:dyDescent="0.25">
      <c r="A24" t="s">
        <v>25</v>
      </c>
      <c r="B24" s="10">
        <f>B22/(B22+B23)</f>
        <v>0.9762866054407199</v>
      </c>
    </row>
    <row r="25" spans="1:2" x14ac:dyDescent="0.25">
      <c r="A25" t="s">
        <v>26</v>
      </c>
      <c r="B25" s="10">
        <f>1-B24</f>
        <v>0.02371339455928012</v>
      </c>
    </row>
    <row r="26" spans="1:2" x14ac:dyDescent="0.25">
      <c r="A26" t="s">
        <v>27</v>
      </c>
      <c r="B26" s="12">
        <f>B24*B20+B25*B21*(1-B8)</f>
        <v>0.08329399203182777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2347600000</v>
      </c>
      <c r="C29" s="8" t="s">
        <v>30</v>
      </c>
    </row>
    <row r="30" spans="1:2" x14ac:dyDescent="0.25">
      <c r="A30" t="s">
        <v>31</v>
      </c>
      <c r="B30" s="11">
        <v>25000000</v>
      </c>
    </row>
    <row r="31" spans="1:2" x14ac:dyDescent="0.25">
      <c r="A31" t="s">
        <v>32</v>
      </c>
      <c r="B31" s="13">
        <v>65417231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0.06634754139238774</v>
      </c>
      <c r="C5" s="10">
        <f>Assumptions!B6</f>
        <v>0.06634754139238774</v>
      </c>
      <c r="D5" s="10">
        <f>Assumptions!B6</f>
        <v>0.06634754139238774</v>
      </c>
      <c r="E5" s="10">
        <f>Assumptions!B6</f>
        <v>0.06634754139238774</v>
      </c>
      <c r="F5" s="10">
        <f>Assumptions!B6</f>
        <v>0.06634754139238774</v>
      </c>
    </row>
    <row r="6" spans="1:6" x14ac:dyDescent="0.25">
      <c r="A6" t="s">
        <v>43</v>
      </c>
      <c r="B6" s="18">
        <f>Assumptions!B29*(1+B5)</f>
        <v>2503357488.1727695</v>
      </c>
      <c r="C6" s="18">
        <f>B6*(1+C5)</f>
        <v>2669449102.7392564</v>
      </c>
      <c r="D6" s="18">
        <f>C6*(1+D5)</f>
        <v>2846560487.5781217</v>
      </c>
      <c r="E6" s="18">
        <f>D6*(1+E5)</f>
        <v>3035422777.3536468</v>
      </c>
      <c r="F6" s="18">
        <f>E6*(1+F5)</f>
        <v>3236815615.7175145</v>
      </c>
    </row>
    <row r="7" spans="1:6" x14ac:dyDescent="0.25">
      <c r="A7" t="s">
        <v>5</v>
      </c>
      <c r="B7" s="10">
        <f>Assumptions!B7</f>
        <v>0.15217798021741397</v>
      </c>
      <c r="C7" s="10">
        <f>Assumptions!B7</f>
        <v>0.15217798021741397</v>
      </c>
      <c r="D7" s="10">
        <f>Assumptions!B7</f>
        <v>0.15217798021741397</v>
      </c>
      <c r="E7" s="10">
        <f>Assumptions!B7</f>
        <v>0.15217798021741397</v>
      </c>
      <c r="F7" s="10">
        <f>Assumptions!B7</f>
        <v>0.15217798021741397</v>
      </c>
    </row>
    <row r="8" spans="1:6" x14ac:dyDescent="0.25">
      <c r="A8" t="s">
        <v>44</v>
      </c>
      <c r="B8" s="18">
        <f>B6*B7</f>
        <v>380955886.3122708</v>
      </c>
      <c r="C8" s="18">
        <f>C6*C7</f>
        <v>406231372.748048</v>
      </c>
      <c r="D8" s="18">
        <f>D6*D7</f>
        <v>433183825.5663357</v>
      </c>
      <c r="E8" s="18">
        <f>E6*E7</f>
        <v>461924507.36361104</v>
      </c>
      <c r="F8" s="18">
        <f>F6*F7</f>
        <v>492572062.73607653</v>
      </c>
    </row>
    <row r="9" spans="1:6" x14ac:dyDescent="0.25">
      <c r="A9" t="s">
        <v>45</v>
      </c>
      <c r="B9" s="18">
        <f>B8*(1-Assumptions!B8)</f>
        <v>283054378.4953825</v>
      </c>
      <c r="C9" s="18">
        <f>C8*(1-Assumptions!B8)</f>
        <v>301834340.5889015</v>
      </c>
      <c r="D9" s="18">
        <f>D8*(1-Assumptions!B8)</f>
        <v>321860306.9947678</v>
      </c>
      <c r="E9" s="18">
        <f>E8*(1-Assumptions!B8)</f>
        <v>343214947.03566974</v>
      </c>
      <c r="F9" s="18">
        <f>F8*(1-Assumptions!B8)</f>
        <v>365986414.94060504</v>
      </c>
    </row>
    <row r="10" spans="1:6" x14ac:dyDescent="0.25">
      <c r="A10" t="s">
        <v>46</v>
      </c>
      <c r="B10" s="18">
        <f>B6*Assumptions!B9</f>
        <v>101975218.33606298</v>
      </c>
      <c r="C10" s="18">
        <f>C6*Assumptions!B9</f>
        <v>108741023.3556127</v>
      </c>
      <c r="D10" s="18">
        <f>D6*Assumptions!B9</f>
        <v>115955722.90374982</v>
      </c>
      <c r="E10" s="18">
        <f>E6*Assumptions!B9</f>
        <v>123649100.02879062</v>
      </c>
      <c r="F10" s="18">
        <f>F6*Assumptions!B9</f>
        <v>131852913.8110823</v>
      </c>
    </row>
    <row r="11" spans="1:6" x14ac:dyDescent="0.25">
      <c r="A11" t="s">
        <v>47</v>
      </c>
      <c r="B11" s="18">
        <f>-B6*Assumptions!B10</f>
        <v>-107722037.90529451</v>
      </c>
      <c r="C11" s="18">
        <f>-C6*Assumptions!B10</f>
        <v>-114869130.2740884</v>
      </c>
      <c r="D11" s="18">
        <f>-D6*Assumptions!B10</f>
        <v>-122490414.64965607</v>
      </c>
      <c r="E11" s="18">
        <f>-E6*Assumptions!B10</f>
        <v>-130617352.50579487</v>
      </c>
      <c r="F11" s="18">
        <f>-F6*Assumptions!B10</f>
        <v>-139283492.7077372</v>
      </c>
    </row>
    <row r="12" spans="1:6" x14ac:dyDescent="0.25">
      <c r="A12" t="s">
        <v>48</v>
      </c>
      <c r="B12" s="18">
        <f>-(B6-Assumptions!B29)*Assumptions!B11</f>
        <v>-43788916.54139297</v>
      </c>
      <c r="C12" s="18">
        <f>-(C6-B6)*Assumptions!B11</f>
        <v>-46694203.494150884</v>
      </c>
      <c r="D12" s="18">
        <f>-(D6-C6)*Assumptions!B11</f>
        <v>-49792249.093263626</v>
      </c>
      <c r="E12" s="18">
        <f>-(E6-D6)*Assumptions!B11</f>
        <v>-53095842.40099904</v>
      </c>
      <c r="F12" s="18">
        <f>-(F6-E6)*Assumptions!B11</f>
        <v>-56618621.00246298</v>
      </c>
    </row>
    <row r="13" spans="1:6" x14ac:dyDescent="0.25">
      <c r="A13" s="19" t="s">
        <v>49</v>
      </c>
      <c r="B13" s="20">
        <f>B9+B10+B11+B12</f>
        <v>233518642.38475794</v>
      </c>
      <c r="C13" s="20">
        <f>C9+C10+C11+C12</f>
        <v>249012030.17627496</v>
      </c>
      <c r="D13" s="20">
        <f>D9+D10+D11+D12</f>
        <v>265533366.15559793</v>
      </c>
      <c r="E13" s="20">
        <f>E9+E10+E11+E12</f>
        <v>283150852.15766644</v>
      </c>
      <c r="F13" s="20">
        <f>F9+F10+F11+F12</f>
        <v>301937215.04148716</v>
      </c>
    </row>
    <row r="14" spans="1:6" x14ac:dyDescent="0.25">
      <c r="A14" t="s">
        <v>50</v>
      </c>
      <c r="B14" s="21">
        <f>1/(1+Assumptions!$B$26)^(1-0.5*Assumptions!$B$32)</f>
        <v>0.9607863684902348</v>
      </c>
      <c r="C14" s="21">
        <f>1/(1+Assumptions!$B$26)^(2-0.5*Assumptions!$B$32)</f>
        <v>0.8869119330092308</v>
      </c>
      <c r="D14" s="21">
        <f>1/(1+Assumptions!$B$26)^(3-0.5*Assumptions!$B$32)</f>
        <v>0.8187176699334752</v>
      </c>
      <c r="E14" s="21">
        <f>1/(1+Assumptions!$B$26)^(4-0.5*Assumptions!$B$32)</f>
        <v>0.7557668333393848</v>
      </c>
      <c r="F14" s="21">
        <f>1/(1+Assumptions!$B$26)^(5-0.5*Assumptions!$B$32)</f>
        <v>0.6976562585027056</v>
      </c>
    </row>
    <row r="15" spans="1:6" x14ac:dyDescent="0.25">
      <c r="A15" s="19" t="s">
        <v>51</v>
      </c>
      <c r="B15" s="20">
        <f>B13*B14</f>
        <v>224361528.3916214</v>
      </c>
      <c r="C15" s="20">
        <f>C13*C14</f>
        <v>220851741.02619293</v>
      </c>
      <c r="D15" s="20">
        <f>D13*D14</f>
        <v>217396858.82850343</v>
      </c>
      <c r="E15" s="20">
        <f>E13*E14</f>
        <v>213996022.89254788</v>
      </c>
      <c r="F15" s="20">
        <f>F13*F14</f>
        <v>210648387.74857077</v>
      </c>
    </row>
    <row r="17" spans="1:2" x14ac:dyDescent="0.25">
      <c r="A17" s="22" t="s">
        <v>52</v>
      </c>
      <c r="B17" s="23">
        <f>SUM(B15:F15)</f>
        <v>1087254538.8874364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301937215.04148716</v>
      </c>
    </row>
    <row r="5" spans="1:2" x14ac:dyDescent="0.25">
      <c r="A5" t="s">
        <v>56</v>
      </c>
      <c r="B5" s="18">
        <f>IF(Assumptions!$B$33=0,B4,B4-Forecast!F11-Forecast!F10-Forecast!F12)</f>
        <v>365986414.94060504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0.17407675239004203</v>
      </c>
    </row>
    <row r="7" spans="1:2" x14ac:dyDescent="0.25">
      <c r="A7" t="s">
        <v>58</v>
      </c>
      <c r="B7" s="18">
        <f>-MAX(Forecast!F9,0)*B6</f>
        <v>-63709726.531734884</v>
      </c>
    </row>
    <row r="8" spans="1:2" x14ac:dyDescent="0.25">
      <c r="A8" t="s">
        <v>59</v>
      </c>
      <c r="B8" s="18">
        <f>IF(OR(Assumptions!$B$33=0,Assumptions!B12&lt;=0),B5,MAX(B5+B7,0))</f>
        <v>302276688.40887016</v>
      </c>
    </row>
    <row r="9" spans="1:2" x14ac:dyDescent="0.25">
      <c r="A9" t="s">
        <v>60</v>
      </c>
      <c r="B9" s="18">
        <f>B8*(1+Assumptions!B12)/(Assumptions!B26-Assumptions!B12)</f>
        <v>5315017805.778796</v>
      </c>
    </row>
    <row r="10" spans="1:2" x14ac:dyDescent="0.25">
      <c r="A10" t="s">
        <v>61</v>
      </c>
      <c r="B10" s="18">
        <f>B9/(1+Assumptions!B26)^(5-0.5*Assumptions!B32)</f>
        <v>3708055436.254895</v>
      </c>
    </row>
    <row r="11" spans="1:2" x14ac:dyDescent="0.25">
      <c r="A11" t="s">
        <v>62</v>
      </c>
      <c r="B11" s="18">
        <f>Forecast!B17+B10</f>
        <v>4795309975.142332</v>
      </c>
    </row>
    <row r="12" spans="1:2" x14ac:dyDescent="0.25">
      <c r="A12" t="s">
        <v>63</v>
      </c>
      <c r="B12" s="18">
        <f>-Assumptions!B30</f>
        <v>-25000000</v>
      </c>
    </row>
    <row r="13" spans="1:2" x14ac:dyDescent="0.25">
      <c r="A13" t="s">
        <v>64</v>
      </c>
      <c r="B13" s="18">
        <f>B11+B12</f>
        <v>4770309975.142332</v>
      </c>
    </row>
    <row r="14" spans="1:2" x14ac:dyDescent="0.25">
      <c r="A14" s="19" t="s">
        <v>65</v>
      </c>
      <c r="B14" s="24">
        <f>B13/Assumptions!B31</f>
        <v>72.92130685174266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624424976.5471588</v>
      </c>
    </row>
    <row r="18" spans="1:2" x14ac:dyDescent="0.25">
      <c r="A18" t="s">
        <v>60</v>
      </c>
      <c r="B18" s="18">
        <f>B17*Assumptions!B13</f>
        <v>12488499530.943176</v>
      </c>
    </row>
    <row r="19" spans="1:2" x14ac:dyDescent="0.25">
      <c r="A19" t="s">
        <v>61</v>
      </c>
      <c r="B19" s="18">
        <f>B18/(1+Assumptions!B26)^(5-0.5*Assumptions!B32)</f>
        <v>8712679857.07061</v>
      </c>
    </row>
    <row r="20" spans="1:2" x14ac:dyDescent="0.25">
      <c r="A20" t="s">
        <v>62</v>
      </c>
      <c r="B20" s="18">
        <f>Forecast!B17+B19</f>
        <v>9799934395.958046</v>
      </c>
    </row>
    <row r="21" spans="1:2" x14ac:dyDescent="0.25">
      <c r="A21" t="s">
        <v>63</v>
      </c>
      <c r="B21" s="18">
        <f>-Assumptions!B30</f>
        <v>-25000000</v>
      </c>
    </row>
    <row r="22" spans="1:2" x14ac:dyDescent="0.25">
      <c r="A22" t="s">
        <v>64</v>
      </c>
      <c r="B22" s="18">
        <f>B20+B21</f>
        <v>9774934395.958046</v>
      </c>
    </row>
    <row r="23" spans="1:2" x14ac:dyDescent="0.25">
      <c r="A23" s="19" t="s">
        <v>65</v>
      </c>
      <c r="B23" s="25">
        <f>B22/Assumptions!B31</f>
        <v>149.4244596803256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133.9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72.92130685174266</v>
      </c>
    </row>
    <row r="29" spans="1:2" x14ac:dyDescent="0.25">
      <c r="A29" s="19" t="s">
        <v>73</v>
      </c>
      <c r="B29" s="12">
        <f>B28/B26-1</f>
        <v>-0.4554047285157382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0.063294</v>
      </c>
      <c r="B5" s="31">
        <v>96.91746437367182</v>
      </c>
      <c r="C5" s="31">
        <v>103.10144556259428</v>
      </c>
      <c r="D5" s="31">
        <v>110.86170641573402</v>
      </c>
      <c r="E5" s="31">
        <v>120.90841077532276</v>
      </c>
      <c r="F5" s="31">
        <v>134.4537114863712</v>
      </c>
    </row>
    <row r="6" spans="1:6" x14ac:dyDescent="0.25">
      <c r="A6" s="30">
        <v>0.073294</v>
      </c>
      <c r="B6" s="31">
        <v>80.0804620937655</v>
      </c>
      <c r="C6" s="31">
        <v>83.66413412252123</v>
      </c>
      <c r="D6" s="31">
        <v>87.96052237763234</v>
      </c>
      <c r="E6" s="31">
        <v>93.21656046179976</v>
      </c>
      <c r="F6" s="31">
        <v>99.80814923249046</v>
      </c>
    </row>
    <row r="7" spans="1:6" x14ac:dyDescent="0.25">
      <c r="A7" s="30">
        <v>0.083294</v>
      </c>
      <c r="B7" s="31">
        <v>68.18862179485359</v>
      </c>
      <c r="C7" s="31">
        <v>70.37876190647924</v>
      </c>
      <c r="D7" s="32">
        <v>72.92129692578398</v>
      </c>
      <c r="E7" s="31">
        <v>75.91541106891198</v>
      </c>
      <c r="F7" s="31">
        <v>79.50136372330988</v>
      </c>
    </row>
    <row r="8" spans="1:6" x14ac:dyDescent="0.25">
      <c r="A8" s="30">
        <v>0.093294</v>
      </c>
      <c r="B8" s="31">
        <v>59.346399570154595</v>
      </c>
      <c r="C8" s="31">
        <v>60.726798617777014</v>
      </c>
      <c r="D8" s="31">
        <v>62.2902319239952</v>
      </c>
      <c r="E8" s="31">
        <v>64.08007664744878</v>
      </c>
      <c r="F8" s="31">
        <v>66.15459215031105</v>
      </c>
    </row>
    <row r="9" spans="1:6" x14ac:dyDescent="0.25">
      <c r="A9" s="30">
        <v>0.103294</v>
      </c>
      <c r="B9" s="31">
        <v>52.517032647358526</v>
      </c>
      <c r="C9" s="31">
        <v>53.399205306748605</v>
      </c>
      <c r="D9" s="31">
        <v>54.37806763104146</v>
      </c>
      <c r="E9" s="31">
        <v>55.47340766528231</v>
      </c>
      <c r="F9" s="31">
        <v>56.71080841309106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2347600000</v>
      </c>
      <c r="C5" s="18">
        <v>2343100000</v>
      </c>
      <c r="D5" s="18">
        <v>2235600000</v>
      </c>
      <c r="E5" s="18">
        <v>1936100000</v>
      </c>
      <c r="F5" s="8" t="s">
        <v>84</v>
      </c>
    </row>
    <row r="6" spans="1:6" x14ac:dyDescent="0.25">
      <c r="A6" t="s">
        <v>44</v>
      </c>
      <c r="B6" s="18">
        <v>209200000</v>
      </c>
      <c r="C6" s="18">
        <v>406100000</v>
      </c>
      <c r="D6" s="18">
        <v>414000000</v>
      </c>
      <c r="E6" s="18">
        <v>311900000</v>
      </c>
      <c r="F6" s="8" t="s">
        <v>85</v>
      </c>
    </row>
    <row r="7" spans="1:6" x14ac:dyDescent="0.25">
      <c r="A7" t="s">
        <v>86</v>
      </c>
      <c r="B7" s="18">
        <v>104700000</v>
      </c>
      <c r="C7" s="18">
        <v>90400000</v>
      </c>
      <c r="D7" s="18">
        <v>84900000</v>
      </c>
      <c r="E7" s="18">
        <v>80900000</v>
      </c>
      <c r="F7" s="8" t="s">
        <v>87</v>
      </c>
    </row>
    <row r="8" spans="1:6" x14ac:dyDescent="0.25">
      <c r="A8" t="s">
        <v>88</v>
      </c>
      <c r="B8" s="18">
        <v>90700000</v>
      </c>
      <c r="C8" s="18">
        <v>102600000</v>
      </c>
      <c r="D8" s="18">
        <v>89800000</v>
      </c>
      <c r="E8" s="18">
        <v>95900000</v>
      </c>
      <c r="F8" s="8" t="s">
        <v>89</v>
      </c>
    </row>
    <row r="9" spans="1:6" x14ac:dyDescent="0.25">
      <c r="A9" t="s">
        <v>90</v>
      </c>
      <c r="B9" s="18">
        <v>-7100000</v>
      </c>
      <c r="C9" s="18">
        <v>221100000</v>
      </c>
      <c r="D9" s="18">
        <v>84200000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212700000</v>
      </c>
      <c r="C10" s="18">
        <v>235700000</v>
      </c>
      <c r="D10" s="18">
        <v>243700000</v>
      </c>
      <c r="E10" s="18">
        <v>201800000</v>
      </c>
      <c r="F10" s="8" t="s">
        <v>93</v>
      </c>
    </row>
    <row r="11" spans="1:6" x14ac:dyDescent="0.25">
      <c r="A11" t="s">
        <v>94</v>
      </c>
      <c r="B11" s="18">
        <v>187700000</v>
      </c>
      <c r="C11" s="18">
        <v>275700000</v>
      </c>
      <c r="D11" s="18">
        <v>513600000</v>
      </c>
      <c r="E11" s="18">
        <v>555500000</v>
      </c>
      <c r="F11" s="8" t="s">
        <v>95</v>
      </c>
    </row>
    <row r="12" spans="1:6" x14ac:dyDescent="0.25">
      <c r="A12" t="s">
        <v>32</v>
      </c>
      <c r="B12" s="34">
        <v>65417231</v>
      </c>
      <c r="C12" s="34">
        <v>65438099</v>
      </c>
      <c r="D12" s="34">
        <v>65709024</v>
      </c>
      <c r="E12" s="34">
        <v>65906599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2026-09-19T00:07:47Z</dcterms:modified>
</cp:coreProperties>
</file>