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<sst xmlns="http://schemas.openxmlformats.org/spreadsheetml/2006/main" count="121" uniqueCount="108">
  <si>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Coherent Corp. (COHR)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</si>
  <si>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</si>
  <si>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</si>
  <si>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</si>
  <si>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</si>
  <si>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</si>
  <si>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</si>
  <si>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</si>
  <si>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</si>
  <si>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</si>
  <si>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</si>
  <si>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</si>
  <si>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</si>
  <si>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</si>
  <si>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</si>
  <si>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</si>
  <si>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</si>
  <si>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</si>
  <si>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</si>
  <si>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</si>
  <si>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</si>
  <si>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</si>
  <si>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</si>
  <si>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</si>
  <si>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4.7x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</si>
  <si>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</si>
  <si>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</si>
  <si>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</si>
  <si>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</si>
  <si>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</si>
  <si>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</si>
  <si>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</si>
  <si>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</si>
  <si>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</si>
  <si>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</si>
  <si>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</si>
  <si>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</si>
  <si>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</si>
  <si>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</si>
  <si>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</si>
  <si>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</si>
  <si>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</si>
  <si>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</si>
  <si>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</si>
  <si>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</si>
  <si>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</si>
  <si>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</si>
  <si>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</si>
  <si>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</si>
  <si>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</si>
  <si>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</si>
  <si>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</si>
  <si>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</si>
  <si>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</si>
  <si>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</si>
  <si>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</si>
  <si>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</si>
  <si>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</si>
  <si>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</si>
  <si>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</si>
  <si>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</si>
  <si>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</si>
  <si>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</si>
  <si>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</si>
  <si>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</si>
  <si>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</si>
  <si>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</si>
  <si>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</si>
  <si>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</si>
  <si>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</si>
  <si>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</si>
  <si>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</si>
  <si>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</si>
  <si>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</si>
  <si>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</si>
  <si>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</si>
  <si>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</si>
  <si>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</si>
  <si>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</si>
  <si>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</si>
  <si>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</si>
  <si>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</si>
  <si>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</si>
  <si>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</si>
  <si>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</si>
  <si>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</si>
  <si>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</si>
  <si>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</si>
  <si>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</si>
  <si>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</si>
  <si>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</si>
  <si>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</si>
  <si>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</si>
  <si>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</si>
  <si>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</si>
  <si>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</si>
  <si>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</si>
  <si>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</si>
  <si>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</si>
  <si>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</si>
  <si>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</si>
  <si>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</si>
  <si>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</si>
  <si>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</si>
  <si>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</si>
  <si>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</si>
  <si>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30.2x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</si>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</sst>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0.4935931820222048</v>
      </c>
    </row>
    <row r="7" spans="1:2" x14ac:dyDescent="0.25">
      <c r="A7" t="s">
        <v>4</v>
      </c>
      <c r="B7" s="5">
        <v>0.06519360432430049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0.10490281660568278</v>
      </c>
    </row>
    <row r="10" spans="1:3" x14ac:dyDescent="0.25">
      <c r="A10" t="s">
        <v>7</v>
      </c>
      <c r="B10" s="5">
        <v>0.09750012699340344</v>
      </c>
      <c r="C10" s="6" t="s">
        <v>8</v>
      </c>
    </row>
    <row r="11" spans="1:2" x14ac:dyDescent="0.25">
      <c r="A11" t="s">
        <v>9</v>
      </c>
      <c r="B11" s="5">
        <v>0.30149218122750665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0.11664761303302479</v>
      </c>
      <c r="C14" s="6" t="s">
        <v>13</v>
      </c>
    </row>
    <row r="15" spans="1:3" x14ac:dyDescent="0.25">
      <c r="A15" t="s">
        <v>14</v>
      </c>
      <c r="B15" s="5">
        <v>0.04666219209616425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1.7457099999999999</v>
      </c>
      <c r="C19" s="6" t="s">
        <v>21</v>
      </c>
    </row>
    <row r="20" spans="1:2" x14ac:dyDescent="0.25">
      <c r="A20" t="s">
        <v>22</v>
      </c>
      <c r="B20" s="9">
        <f>B17+B19*B18</f>
        <v>0.122783533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41418563584</v>
      </c>
    </row>
    <row r="23" spans="1:2" x14ac:dyDescent="0.25">
      <c r="A23" t="s">
        <v>26</v>
      </c>
      <c r="B23" s="10">
        <v>3538434000</v>
      </c>
    </row>
    <row r="24" spans="1:2" x14ac:dyDescent="0.25">
      <c r="A24" t="s">
        <v>27</v>
      </c>
      <c r="B24" s="9">
        <f>B22/(B22+B23)</f>
        <v>0.9212929201201969</v>
      </c>
    </row>
    <row r="25" spans="1:2" x14ac:dyDescent="0.25">
      <c r="A25" t="s">
        <v>28</v>
      </c>
      <c r="B25" s="9">
        <f>1-B24</f>
        <v>0.07870707987980308</v>
      </c>
    </row>
    <row r="26" spans="1:2" x14ac:dyDescent="0.25">
      <c r="A26" t="s">
        <v>29</v>
      </c>
      <c r="B26" s="11">
        <f>B24*B20+B25*B21*(1-B8)</f>
        <v>0.11664761303302479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7118181000</v>
      </c>
      <c r="C29" s="6" t="s">
        <v>32</v>
      </c>
    </row>
    <row r="30" spans="1:2" x14ac:dyDescent="0.25">
      <c r="A30" t="s">
        <v>33</v>
      </c>
      <c r="B30" s="10">
        <v>1551416000</v>
      </c>
    </row>
    <row r="31" spans="1:2" x14ac:dyDescent="0.25">
      <c r="A31" t="s">
        <v>34</v>
      </c>
      <c r="B31" s="12">
        <v>195387000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0.4935931820222048</v>
      </c>
      <c r="C5" s="5">
        <v>0.381296482358376</v>
      </c>
      <c r="D5" s="5">
        <v>0.336759422063579</v>
      </c>
      <c r="E5" s="5">
        <v>0.292222361768782</v>
      </c>
      <c r="F5" s="5">
        <v>0.247685301473985</v>
      </c>
      <c r="G5" s="5">
        <v>0.203148241179188</v>
      </c>
      <c r="H5" s="5">
        <v>0.15861118088439102</v>
      </c>
      <c r="I5" s="5">
        <v>0.11407412058959399</v>
      </c>
      <c r="J5" s="5">
        <v>0.069537060294797</v>
      </c>
      <c r="K5" s="5">
        <v>0.025000000000000022</v>
      </c>
    </row>
    <row r="6" spans="1:11" x14ac:dyDescent="0.25">
      <c r="A6" t="s">
        <v>50</v>
      </c>
      <c r="B6" s="18">
        <f>Assumptions!B29*(1+B5)</f>
        <v>10631666610</v>
      </c>
      <c r="C6" s="18">
        <f>B6*(1+C5)</f>
        <v>14685483690</v>
      </c>
      <c r="D6" s="18">
        <f>C6*(1+D5)</f>
        <v>19630958690.168514</v>
      </c>
      <c r="E6" s="18">
        <f>D6*(1+E5)</f>
        <v>25367563802.394955</v>
      </c>
      <c r="F6" s="18">
        <f>E6*(1+F5)</f>
        <v>31650736490.4517</v>
      </c>
      <c r="G6" s="18">
        <f>F6*(1+G5)</f>
        <v>38080527940.51291</v>
      </c>
      <c r="H6" s="18">
        <f>G6*(1+H5)</f>
        <v>44120525445.85871</v>
      </c>
      <c r="I6" s="18">
        <f>H6*(1+I5)</f>
        <v>49153535586.045845</v>
      </c>
      <c r="J6" s="18">
        <f>I6*(1+J5)</f>
        <v>52571527953.79517</v>
      </c>
      <c r="K6" s="18">
        <f>J6*(1+K5)</f>
        <v>53885816152.640045</v>
      </c>
    </row>
    <row r="7" spans="1:11" x14ac:dyDescent="0.25">
      <c r="A7" t="s">
        <v>4</v>
      </c>
      <c r="B7" s="9">
        <f>Assumptions!B7</f>
        <v>0.06519360432430049</v>
      </c>
      <c r="C7" s="9">
        <f>Assumptions!B7</f>
        <v>0.06519360432430049</v>
      </c>
      <c r="D7" s="9">
        <f>Assumptions!B7</f>
        <v>0.06519360432430049</v>
      </c>
      <c r="E7" s="9">
        <f>Assumptions!B7</f>
        <v>0.06519360432430049</v>
      </c>
      <c r="F7" s="9">
        <f>Assumptions!B7</f>
        <v>0.06519360432430049</v>
      </c>
      <c r="G7" s="9">
        <f>Assumptions!B7</f>
        <v>0.06519360432430049</v>
      </c>
      <c r="H7" s="9">
        <f>Assumptions!B7</f>
        <v>0.06519360432430049</v>
      </c>
      <c r="I7" s="9">
        <f>Assumptions!B7</f>
        <v>0.06519360432430049</v>
      </c>
      <c r="J7" s="9">
        <f>Assumptions!B7</f>
        <v>0.06519360432430049</v>
      </c>
      <c r="K7" s="9">
        <f>Assumptions!B7</f>
        <v>0.06519360432430049</v>
      </c>
    </row>
    <row r="8" spans="1:11" x14ac:dyDescent="0.25">
      <c r="A8" t="s">
        <v>51</v>
      </c>
      <c r="B8" s="18">
        <f>B6*B7</f>
        <v>693116666.2802172</v>
      </c>
      <c r="C8" s="18">
        <f>C6*C7</f>
        <v>957399612.9968283</v>
      </c>
      <c r="D8" s="18">
        <f>D6*D7</f>
        <v>1279812953.3535345</v>
      </c>
      <c r="E8" s="18">
        <f>E6*E7</f>
        <v>1653802917.2047844</v>
      </c>
      <c r="F8" s="18">
        <f>F6*F7</f>
        <v>2063425591.3312073</v>
      </c>
      <c r="G8" s="18">
        <f>G6*G7</f>
        <v>2482606871.014268</v>
      </c>
      <c r="H8" s="18">
        <f>H6*H7</f>
        <v>2876376078.4975443</v>
      </c>
      <c r="I8" s="18">
        <f>I6*I7</f>
        <v>3204496150.1370964</v>
      </c>
      <c r="J8" s="18">
        <f>J6*J7</f>
        <v>3427327392.1436253</v>
      </c>
      <c r="K8" s="18">
        <f>K6*K7</f>
        <v>3513010576.9472156</v>
      </c>
    </row>
    <row r="9" spans="1:11" x14ac:dyDescent="0.25">
      <c r="A9" t="s">
        <v>52</v>
      </c>
      <c r="B9" s="18">
        <f>B8*(1-Assumptions!B8)</f>
        <v>547562166.3613716</v>
      </c>
      <c r="C9" s="18">
        <f>C8*(1-Assumptions!B8)</f>
        <v>756345694.2674944</v>
      </c>
      <c r="D9" s="18">
        <f>D8*(1-Assumptions!B8)</f>
        <v>1011052233.1492922</v>
      </c>
      <c r="E9" s="18">
        <f>E8*(1-Assumptions!B8)</f>
        <v>1306504304.5917797</v>
      </c>
      <c r="F9" s="18">
        <f>F8*(1-Assumptions!B8)</f>
        <v>1630106217.1516538</v>
      </c>
      <c r="G9" s="18">
        <f>G8*(1-Assumptions!B8)</f>
        <v>1961259428.1012716</v>
      </c>
      <c r="H9" s="18">
        <f>H8*(1-Assumptions!B8)</f>
        <v>2272337102.01306</v>
      </c>
      <c r="I9" s="18">
        <f>I8*(1-Assumptions!B8)</f>
        <v>2531551958.6083064</v>
      </c>
      <c r="J9" s="18">
        <f>J8*(1-Assumptions!B8)</f>
        <v>2707588639.793464</v>
      </c>
      <c r="K9" s="18">
        <f>K8*(1-Assumptions!B8)</f>
        <v>2775278355.7883005</v>
      </c>
    </row>
    <row r="10" spans="1:11" x14ac:dyDescent="0.25">
      <c r="A10" t="s">
        <v>53</v>
      </c>
      <c r="B10" s="18">
        <f>B6*Assumptions!B9</f>
        <v>1115291772.601591</v>
      </c>
      <c r="C10" s="18">
        <f>C6*Assumptions!B9</f>
        <v>1540548602.2978156</v>
      </c>
      <c r="D10" s="18">
        <f>D6*Assumptions!B9</f>
        <v>2059342859.2684822</v>
      </c>
      <c r="E10" s="18">
        <f>E6*Assumptions!B9</f>
        <v>2661128893.2955947</v>
      </c>
      <c r="F10" s="18">
        <f>F6*Assumptions!B9</f>
        <v>3320251405.492646</v>
      </c>
      <c r="G10" s="18">
        <f>G6*Assumptions!B9</f>
        <v>3994754638.7912045</v>
      </c>
      <c r="H10" s="18">
        <f>H6*Assumptions!B9</f>
        <v>4628367389.393277</v>
      </c>
      <c r="I10" s="18">
        <f>I6*Assumptions!B9</f>
        <v>5156344329.103869</v>
      </c>
      <c r="J10" s="18">
        <f>J6*Assumptions!B9</f>
        <v>5514901355.6175</v>
      </c>
      <c r="K10" s="18">
        <f>K6*Assumptions!B9</f>
        <v>5652773889.507937</v>
      </c>
    </row>
    <row r="11" spans="1:11" x14ac:dyDescent="0.25">
      <c r="A11" t="s">
        <v>54</v>
      </c>
      <c r="B11" s="18">
        <f>-B6*B19</f>
        <v>-1036588844.626527</v>
      </c>
      <c r="C11" s="18">
        <f>-C6*C19</f>
        <v>-1382984659.2875538</v>
      </c>
      <c r="D11" s="18">
        <f>-D6*D19</f>
        <v>-1783414582.4503653</v>
      </c>
      <c r="E11" s="18">
        <f>-E6*E19</f>
        <v>-2220181959.49696</v>
      </c>
      <c r="F11" s="18">
        <f>-F6*F19</f>
        <v>-2664800920.864827</v>
      </c>
      <c r="G11" s="18">
        <f>-G6*G19</f>
        <v>-3079474098.7450323</v>
      </c>
      <c r="H11" s="18">
        <f>-H6*H19</f>
        <v>-3421144379.662472</v>
      </c>
      <c r="I11" s="18">
        <f>-I6*I19</f>
        <v>-3647897158.5772085</v>
      </c>
      <c r="J11" s="18">
        <f>-J6*J19</f>
        <v>-3726679853.458143</v>
      </c>
      <c r="K11" s="18">
        <f>-K6*K19</f>
        <v>-3640593466.2657213</v>
      </c>
    </row>
    <row r="12" spans="1:11" x14ac:dyDescent="0.25">
      <c r="A12" t="s">
        <v>55</v>
      </c>
      <c r="B12" s="18">
        <f>-(B6-Assumptions!B29)*Assumptions!B11</f>
        <v>-1059288440.2703568</v>
      </c>
      <c r="C12" s="18">
        <f>-(C6-B6)*Assumptions!B11</f>
        <v>-1222194153.7465217</v>
      </c>
      <c r="D12" s="18">
        <f>-(D6-C6)*Assumptions!B11</f>
        <v>-1491022045.0069091</v>
      </c>
      <c r="E12" s="18">
        <f>-(E6-D6)*Assumptions!B11</f>
        <v>-1729541588.1260152</v>
      </c>
      <c r="F12" s="18">
        <f>-(F6-E6)*Assumptions!B11</f>
        <v>-1894327438.751324</v>
      </c>
      <c r="G12" s="18">
        <f>-(G6-F6)*Assumptions!B11</f>
        <v>-1938531849.1169274</v>
      </c>
      <c r="H12" s="18">
        <f>-(H6-G6)*Assumptions!B11</f>
        <v>-1821012022.4954047</v>
      </c>
      <c r="I12" s="18">
        <f>-(I6-H6)*Assumptions!B11</f>
        <v>-1517413205.305178</v>
      </c>
      <c r="J12" s="18">
        <f>-(J6-I6)*Assumptions!B11</f>
        <v>-1030497974.3717152</v>
      </c>
      <c r="K12" s="18">
        <f>-(K6-J6)*Assumptions!B11</f>
        <v>-396247615.8313113</v>
      </c>
    </row>
    <row r="13" spans="1:11" x14ac:dyDescent="0.25">
      <c r="A13" s="19" t="s">
        <v>56</v>
      </c>
      <c r="B13" s="20">
        <f>B9+B10+B11+B12</f>
        <v>-433023345.9339211</v>
      </c>
      <c r="C13" s="20">
        <f>C9+C10+C11+C12</f>
        <v>-308284516.4687655</v>
      </c>
      <c r="D13" s="20">
        <f>D9+D10+D11+D12</f>
        <v>-204041535.03950024</v>
      </c>
      <c r="E13" s="20">
        <f>E9+E10+E11+E12</f>
        <v>17909650.26439905</v>
      </c>
      <c r="F13" s="20">
        <f>F9+F10+F11+F12</f>
        <v>391229263.02814937</v>
      </c>
      <c r="G13" s="20">
        <f>G9+G10+G11+G12</f>
        <v>938008119.0305164</v>
      </c>
      <c r="H13" s="20">
        <f>H9+H10+H11+H12</f>
        <v>1658548089.2484612</v>
      </c>
      <c r="I13" s="20">
        <f>I9+I10+I11+I12</f>
        <v>2522585923.829789</v>
      </c>
      <c r="J13" s="20">
        <f>J9+J10+J11+J12</f>
        <v>3465312167.5811067</v>
      </c>
      <c r="K13" s="20">
        <f>K9+K10+K11+K12</f>
        <v>4391211163.199205</v>
      </c>
    </row>
    <row r="14" spans="1:11" x14ac:dyDescent="0.25">
      <c r="A14" t="s">
        <v>57</v>
      </c>
      <c r="B14" s="21">
        <f>1/(1+Assumptions!$B$26)^(1-0.5*Assumptions!$B$32)</f>
        <v>0.9463285204299241</v>
      </c>
      <c r="C14" s="21">
        <f>1/(1+Assumptions!$B$26)^(2-0.5*Assumptions!$B$32)</f>
        <v>0.8474728368957133</v>
      </c>
      <c r="D14" s="21">
        <f>1/(1+Assumptions!$B$26)^(3-0.5*Assumptions!$B$32)</f>
        <v>0.7589438485376938</v>
      </c>
      <c r="E14" s="21">
        <f>1/(1+Assumptions!$B$26)^(4-0.5*Assumptions!$B$32)</f>
        <v>0.6796628047018878</v>
      </c>
      <c r="F14" s="21">
        <f>1/(1+Assumptions!$B$26)^(5-0.5*Assumptions!$B$32)</f>
        <v>0.6086636435426535</v>
      </c>
      <c r="G14" s="21">
        <f>1/(1+Assumptions!$B$26)^(6-0.5*Assumptions!$B$32)</f>
        <v>0.5450812202870416</v>
      </c>
      <c r="H14" s="21">
        <f>1/(1+Assumptions!$B$26)^(7-0.5*Assumptions!$B$32)</f>
        <v>0.4881407652021023</v>
      </c>
      <c r="I14" s="21">
        <f>1/(1+Assumptions!$B$26)^(8-0.5*Assumptions!$B$32)</f>
        <v>0.43714844280750326</v>
      </c>
      <c r="J14" s="21">
        <f>1/(1+Assumptions!$B$26)^(9-0.5*Assumptions!$B$32)</f>
        <v>0.3914828972948108</v>
      </c>
      <c r="K14" s="21">
        <f>1/(1+Assumptions!$B$26)^(10-0.5*Assumptions!$B$32)</f>
        <v>0.3505876811319819</v>
      </c>
    </row>
    <row r="15" spans="1:11" x14ac:dyDescent="0.25">
      <c r="A15" s="19" t="s">
        <v>58</v>
      </c>
      <c r="B15" s="20">
        <f>B13*B14</f>
        <v>-409782342.26926273</v>
      </c>
      <c r="C15" s="20">
        <f>C13*C14</f>
        <v>-261262753.74280792</v>
      </c>
      <c r="D15" s="20">
        <f>D13*D14</f>
        <v>-154856067.86441702</v>
      </c>
      <c r="E15" s="20">
        <f>E13*E14</f>
        <v>12172523.129931366</v>
      </c>
      <c r="F15" s="20">
        <f>F13*F14</f>
        <v>238127028.69522053</v>
      </c>
      <c r="G15" s="20">
        <f>G13*G14</f>
        <v>511290610.16030645</v>
      </c>
      <c r="H15" s="20">
        <f>H13*H14</f>
        <v>809604933.4102285</v>
      </c>
      <c r="I15" s="20">
        <f>I13*I14</f>
        <v>1102744508.4503193</v>
      </c>
      <c r="J15" s="20">
        <f>J13*J14</f>
        <v>1356610447.3956125</v>
      </c>
      <c r="K15" s="20">
        <f>K13*K14</f>
        <v>1539504539.0668824</v>
      </c>
    </row>
    <row r="17" spans="1:2" x14ac:dyDescent="0.25">
      <c r="A17" s="22" t="s">
        <v>59</v>
      </c>
      <c r="B17" s="23">
        <f>SUM(B15:K15)</f>
        <v>4744153426.4320135</v>
      </c>
    </row>
    <row r="19" spans="1:11" x14ac:dyDescent="0.25">
      <c r="A19" t="s">
        <v>7</v>
      </c>
      <c r="B19" s="9">
        <f>Assumptions!$B$10+($B$20-Assumptions!$B$10)*0/9</f>
        <v>0.09750012699340344</v>
      </c>
      <c r="C19" s="9">
        <f>Assumptions!$B$10+($B$20-Assumptions!$B$10)*1/9</f>
        <v>0.09417358586760678</v>
      </c>
      <c r="D19" s="9">
        <f>Assumptions!$B$10+($B$20-Assumptions!$B$10)*2/9</f>
        <v>0.09084704474181013</v>
      </c>
      <c r="E19" s="9">
        <f>Assumptions!$B$10+($B$20-Assumptions!$B$10)*3/9</f>
        <v>0.08752050361601348</v>
      </c>
      <c r="F19" s="9">
        <f>Assumptions!$B$10+($B$20-Assumptions!$B$10)*4/9</f>
        <v>0.08419396249021682</v>
      </c>
      <c r="G19" s="9">
        <f>Assumptions!$B$10+($B$20-Assumptions!$B$10)*5/9</f>
        <v>0.08086742136442016</v>
      </c>
      <c r="H19" s="9">
        <f>Assumptions!$B$10+($B$20-Assumptions!$B$10)*6/9</f>
        <v>0.07754088023862352</v>
      </c>
      <c r="I19" s="9">
        <f>Assumptions!$B$10+($B$20-Assumptions!$B$10)*7/9</f>
        <v>0.07421433911282685</v>
      </c>
      <c r="J19" s="9">
        <f>Assumptions!$B$10+($B$20-Assumptions!$B$10)*8/9</f>
        <v>0.0708877979870302</v>
      </c>
      <c r="K19" s="9">
        <f>Assumptions!$B$10+($B$20-Assumptions!$B$10)*9/9</f>
        <v>0.06756125686123354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0.06756125686123354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4391211163.199205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5254569787.886837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0.21432071647211592</v>
      </c>
    </row>
    <row r="7" spans="1:2" x14ac:dyDescent="0.25">
      <c r="A7" t="s">
        <v>66</v>
      </c>
      <c r="B7" s="18">
        <f>-MAX(B5,0)*B6</f>
        <v>-1126163161.692641</v>
      </c>
    </row>
    <row r="8" spans="1:2" x14ac:dyDescent="0.25">
      <c r="A8" t="s">
        <v>67</v>
      </c>
      <c r="B8" s="18">
        <f>IF(OR(Assumptions!$B$33=0,Assumptions!B12&lt;=0),B5,MAX(B5+B7,0))</f>
        <v>4128406626.1941957</v>
      </c>
    </row>
    <row r="9" spans="1:2" x14ac:dyDescent="0.25">
      <c r="A9" t="s">
        <v>68</v>
      </c>
      <c r="B9" s="18">
        <f>B8*(1+Assumptions!B12)/(Assumptions!B26-Assumptions!B12)</f>
        <v>46172689629.39828</v>
      </c>
    </row>
    <row r="10" spans="1:2" x14ac:dyDescent="0.25">
      <c r="A10" t="s">
        <v>69</v>
      </c>
      <c r="B10" s="18">
        <f>B9/(1+Assumptions!B26)^(10-0.5*Assumptions!B32)</f>
        <v>16187576188.797451</v>
      </c>
    </row>
    <row r="11" spans="1:2" x14ac:dyDescent="0.25">
      <c r="A11" t="s">
        <v>70</v>
      </c>
      <c r="B11" s="18">
        <f>Forecast!B17+B10</f>
        <v>20931729615.229465</v>
      </c>
    </row>
    <row r="12" spans="1:2" x14ac:dyDescent="0.25">
      <c r="A12" t="s">
        <v>71</v>
      </c>
      <c r="B12" s="18">
        <f>-Assumptions!B30</f>
        <v>-1551416000</v>
      </c>
    </row>
    <row r="13" spans="1:2" x14ac:dyDescent="0.25">
      <c r="A13" t="s">
        <v>72</v>
      </c>
      <c r="B13" s="18">
        <f>B11+B12</f>
        <v>19380313615.229465</v>
      </c>
    </row>
    <row r="14" spans="1:2" x14ac:dyDescent="0.25">
      <c r="A14" s="19" t="s">
        <v>73</v>
      </c>
      <c r="B14" s="24">
        <f>B13/Assumptions!B31</f>
        <v>99.18937091633254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9165784466.455153</v>
      </c>
    </row>
    <row r="18" spans="1:2" x14ac:dyDescent="0.25">
      <c r="A18" t="s">
        <v>68</v>
      </c>
      <c r="B18" s="18">
        <f>B17*Assumptions!B13</f>
        <v>183315689329.10306</v>
      </c>
    </row>
    <row r="19" spans="1:2" x14ac:dyDescent="0.25">
      <c r="A19" t="s">
        <v>69</v>
      </c>
      <c r="B19" s="18">
        <f>B18/(1+Assumptions!B26)^(10-0.5*Assumptions!B32)</f>
        <v>64268222437.001045</v>
      </c>
    </row>
    <row r="20" spans="1:2" x14ac:dyDescent="0.25">
      <c r="A20" t="s">
        <v>70</v>
      </c>
      <c r="B20" s="18">
        <f>Forecast!B17+B19</f>
        <v>69012375863.43306</v>
      </c>
    </row>
    <row r="21" spans="1:2" x14ac:dyDescent="0.25">
      <c r="A21" t="s">
        <v>71</v>
      </c>
      <c r="B21" s="18">
        <f>-Assumptions!B30</f>
        <v>-1551416000</v>
      </c>
    </row>
    <row r="22" spans="1:2" x14ac:dyDescent="0.25">
      <c r="A22" t="s">
        <v>72</v>
      </c>
      <c r="B22" s="18">
        <f>B20+B21</f>
        <v>67460959863.43306</v>
      </c>
    </row>
    <row r="23" spans="1:2" x14ac:dyDescent="0.25">
      <c r="A23" s="19" t="s">
        <v>73</v>
      </c>
      <c r="B23" s="25">
        <f>B22/Assumptions!B31</f>
        <v>345.26841531643896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210.32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99.18937091633254</v>
      </c>
    </row>
    <row r="29" spans="1:2" x14ac:dyDescent="0.25">
      <c r="A29" s="19" t="s">
        <v>81</v>
      </c>
      <c r="B29" s="11">
        <f>B28/B26-1</f>
        <v>-0.5283883086899366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0.096648</v>
      </c>
      <c r="B5" s="31">
        <v>141.4647627441941</v>
      </c>
      <c r="C5" s="31">
        <v>139.150081279772</v>
      </c>
      <c r="D5" s="31">
        <v>136.83539981534983</v>
      </c>
      <c r="E5" s="31">
        <v>134.5207183509277</v>
      </c>
      <c r="F5" s="31">
        <v>132.20603688650553</v>
      </c>
    </row>
    <row r="6" spans="1:6" x14ac:dyDescent="0.25">
      <c r="A6" s="30">
        <v>0.106648</v>
      </c>
      <c r="B6" s="31">
        <v>119.98339503231233</v>
      </c>
      <c r="C6" s="31">
        <v>118.00389577625897</v>
      </c>
      <c r="D6" s="31">
        <v>116.02439652020558</v>
      </c>
      <c r="E6" s="31">
        <v>114.04489726415221</v>
      </c>
      <c r="F6" s="31">
        <v>112.06539800809882</v>
      </c>
    </row>
    <row r="7" spans="1:6" x14ac:dyDescent="0.25">
      <c r="A7" s="30">
        <v>0.116648</v>
      </c>
      <c r="B7" s="31">
        <v>102.60724246096107</v>
      </c>
      <c r="C7" s="31">
        <v>100.89801261338728</v>
      </c>
      <c r="D7" s="32">
        <v>99.18878276581344</v>
      </c>
      <c r="E7" s="31">
        <v>97.47955291823968</v>
      </c>
      <c r="F7" s="31">
        <v>95.77032307066585</v>
      </c>
    </row>
    <row r="8" spans="1:6" x14ac:dyDescent="0.25">
      <c r="A8" s="30">
        <v>0.126648</v>
      </c>
      <c r="B8" s="31">
        <v>88.3351825751589</v>
      </c>
      <c r="C8" s="31">
        <v>86.84723049451847</v>
      </c>
      <c r="D8" s="31">
        <v>85.35927841387802</v>
      </c>
      <c r="E8" s="31">
        <v>83.87132633323759</v>
      </c>
      <c r="F8" s="31">
        <v>82.38337425259712</v>
      </c>
    </row>
    <row r="9" spans="1:6" x14ac:dyDescent="0.25">
      <c r="A9" s="30">
        <v>0.136648</v>
      </c>
      <c r="B9" s="31">
        <v>76.4613698693239</v>
      </c>
      <c r="C9" s="31">
        <v>75.15691965040587</v>
      </c>
      <c r="D9" s="31">
        <v>73.8524694314878</v>
      </c>
      <c r="E9" s="31">
        <v>72.54801921256978</v>
      </c>
      <c r="F9" s="31">
        <v>71.24356899365173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7118181000</v>
      </c>
      <c r="C5" s="18">
        <v>5810115000</v>
      </c>
      <c r="D5" s="18">
        <v>4707688000</v>
      </c>
      <c r="E5" s="18">
        <v>5160100000</v>
      </c>
      <c r="F5" s="6" t="s">
        <v>91</v>
      </c>
    </row>
    <row r="6" spans="1:6" x14ac:dyDescent="0.25">
      <c r="A6" t="s">
        <v>51</v>
      </c>
      <c r="B6" s="18">
        <v>901522000</v>
      </c>
      <c r="C6" s="18">
        <v>534947000</v>
      </c>
      <c r="D6" s="18">
        <v>123175000</v>
      </c>
      <c r="E6" s="18">
        <v>81981000</v>
      </c>
      <c r="F6" s="6" t="s">
        <v>92</v>
      </c>
    </row>
    <row r="7" spans="1:6" x14ac:dyDescent="0.25">
      <c r="A7" t="s">
        <v>93</v>
      </c>
      <c r="B7" s="18">
        <v>521895000</v>
      </c>
      <c r="C7" s="18">
        <v>553598000</v>
      </c>
      <c r="D7" s="18">
        <v>559761000</v>
      </c>
      <c r="E7" s="18">
        <v>681687000</v>
      </c>
      <c r="F7" s="6" t="s">
        <v>94</v>
      </c>
    </row>
    <row r="8" spans="1:6" x14ac:dyDescent="0.25">
      <c r="A8" t="s">
        <v>95</v>
      </c>
      <c r="B8" s="18">
        <v>1110083000</v>
      </c>
      <c r="C8" s="18">
        <v>440836000</v>
      </c>
      <c r="D8" s="18">
        <v>346816000</v>
      </c>
      <c r="E8" s="18">
        <v>436060000</v>
      </c>
      <c r="F8" s="6" t="s">
        <v>96</v>
      </c>
    </row>
    <row r="9" spans="1:6" x14ac:dyDescent="0.25">
      <c r="A9" t="s">
        <v>97</v>
      </c>
      <c r="B9" s="18">
        <v>1102166000</v>
      </c>
      <c r="C9" s="18">
        <v>208134000</v>
      </c>
      <c r="D9" s="18">
        <v>-104341000</v>
      </c>
      <c r="E9" s="18">
        <v>-124628000</v>
      </c>
      <c r="F9" s="6" t="s">
        <v>98</v>
      </c>
    </row>
    <row r="10" spans="1:6" x14ac:dyDescent="0.25">
      <c r="A10" t="s">
        <v>99</v>
      </c>
      <c r="B10" s="18">
        <v>3538434000</v>
      </c>
      <c r="C10" s="18">
        <v>3893658000</v>
      </c>
      <c r="D10" s="18">
        <v>4303153000</v>
      </c>
      <c r="E10" s="18">
        <v>4488817000</v>
      </c>
      <c r="F10" s="6" t="s">
        <v>100</v>
      </c>
    </row>
    <row r="11" spans="1:6" x14ac:dyDescent="0.25">
      <c r="A11" t="s">
        <v>101</v>
      </c>
      <c r="B11" s="18">
        <v>1987018000</v>
      </c>
      <c r="C11" s="18">
        <v>909200000</v>
      </c>
      <c r="D11" s="18">
        <v>926033000</v>
      </c>
      <c r="E11" s="18">
        <v>821310000</v>
      </c>
      <c r="F11" s="6" t="s">
        <v>102</v>
      </c>
    </row>
    <row r="12" spans="1:6" x14ac:dyDescent="0.25">
      <c r="A12" t="s">
        <v>34</v>
      </c>
      <c r="B12" s="34">
        <v>195387000</v>
      </c>
      <c r="C12" s="34">
        <v>154800000</v>
      </c>
      <c r="D12" s="34">
        <v>151600000</v>
      </c>
      <c r="E12" s="34">
        <v>137578000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