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<sst xmlns="http://schemas.openxmlformats.org/spreadsheetml/2006/main" count="113" uniqueCount="101">
  <si>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Coherent Corp. (COHR)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</si>
  <si>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</si>
  <si>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</si>
  <si>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</si>
  <si>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</si>
  <si>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</si>
  <si>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</si>
  <si>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</si>
  <si>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</si>
  <si>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</si>
  <si>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</si>
  <si>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</si>
  <si>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</si>
  <si>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</si>
  <si>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</si>
  <si>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</si>
  <si>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</si>
  <si>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</si>
  <si>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</si>
  <si>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</si>
  <si>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</si>
  <si>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</si>
  <si>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</si>
  <si>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</si>
  <si>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</si>
  <si>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</si>
  <si>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</si>
  <si>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</si>
  <si>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</si>
  <si>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</si>
  <si>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</si>
  <si>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</si>
  <si>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</si>
  <si>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</si>
  <si>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</si>
  <si>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</si>
  <si>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</si>
  <si>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</si>
  <si>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</si>
  <si>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</si>
  <si>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</si>
  <si>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</si>
  <si>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</si>
  <si>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</si>
  <si>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</si>
  <si>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</si>
  <si>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</si>
  <si>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</si>
  <si>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</si>
  <si>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</si>
  <si>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</si>
  <si>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</si>
  <si>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</si>
  <si>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</si>
  <si>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</si>
  <si>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</si>
  <si>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</si>
  <si>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</si>
  <si>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</si>
  <si>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</si>
  <si>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</si>
  <si>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</si>
  <si>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</si>
  <si>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</si>
  <si>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</si>
  <si>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</si>
  <si>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</si>
  <si>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</si>
  <si>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</si>
  <si>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</si>
  <si>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</si>
  <si>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</si>
  <si>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</si>
  <si>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</si>
  <si>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</si>
  <si>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</si>
  <si>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</si>
  <si>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</si>
  <si>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</si>
  <si>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</si>
  <si>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</si>
  <si>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</si>
  <si>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</si>
  <si>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</si>
  <si>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</si>
  <si>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</si>
  <si>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</si>
  <si>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</si>
  <si>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</si>
  <si>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</si>
  <si>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</si>
  <si>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</si>
  <si>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</si>
  <si>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</si>
  <si>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</si>
  <si>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</si>
  <si>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</si>
  <si>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</si>
  <si>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7.3%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</si>
  <si>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44.8x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</si>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</sst>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0.1131925802114353</v>
      </c>
    </row>
    <row r="7" spans="1:2" x14ac:dyDescent="0.25">
      <c r="A7" t="s">
        <v>5</v>
      </c>
      <c r="B7" s="6">
        <v>0.06519360432430049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0.10490281660568278</v>
      </c>
    </row>
    <row r="10" spans="1:2" x14ac:dyDescent="0.25">
      <c r="A10" t="s">
        <v>8</v>
      </c>
      <c r="B10" s="6">
        <v>0.09750012699340344</v>
      </c>
    </row>
    <row r="11" spans="1:2" x14ac:dyDescent="0.25">
      <c r="A11" t="s">
        <v>9</v>
      </c>
      <c r="B11" s="6">
        <v>0.23063269762959426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0.1399948271115864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1.73968</v>
      </c>
      <c r="C19" s="8" t="s">
        <v>19</v>
      </c>
    </row>
    <row r="20" spans="1:2" x14ac:dyDescent="0.25">
      <c r="A20" t="s">
        <v>20</v>
      </c>
      <c r="B20" s="10">
        <f>B17+B19*B18</f>
        <v>0.1456624</v>
      </c>
    </row>
    <row r="21" spans="1:3" x14ac:dyDescent="0.25">
      <c r="A21" t="s">
        <v>21</v>
      </c>
      <c r="B21" s="6">
        <v>0.05120146521329391</v>
      </c>
      <c r="C21" s="8" t="s">
        <v>22</v>
      </c>
    </row>
    <row r="22" spans="1:2" x14ac:dyDescent="0.25">
      <c r="A22" t="s">
        <v>23</v>
      </c>
      <c r="B22" s="11">
        <v>62149316608</v>
      </c>
    </row>
    <row r="23" spans="1:2" x14ac:dyDescent="0.25">
      <c r="A23" t="s">
        <v>24</v>
      </c>
      <c r="B23" s="11">
        <v>3538434000</v>
      </c>
    </row>
    <row r="24" spans="1:2" x14ac:dyDescent="0.25">
      <c r="A24" t="s">
        <v>25</v>
      </c>
      <c r="B24" s="10">
        <f>B22/(B22+B23)</f>
        <v>0.9461325137906449</v>
      </c>
    </row>
    <row r="25" spans="1:2" x14ac:dyDescent="0.25">
      <c r="A25" t="s">
        <v>26</v>
      </c>
      <c r="B25" s="10">
        <f>1-B24</f>
        <v>0.05386748620935511</v>
      </c>
    </row>
    <row r="26" spans="1:2" x14ac:dyDescent="0.25">
      <c r="A26" t="s">
        <v>27</v>
      </c>
      <c r="B26" s="12">
        <f>B24*B20+B25*B21*(1-B8)</f>
        <v>0.1399948271115864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7118181000</v>
      </c>
      <c r="C29" s="8" t="s">
        <v>30</v>
      </c>
    </row>
    <row r="30" spans="1:2" x14ac:dyDescent="0.25">
      <c r="A30" t="s">
        <v>31</v>
      </c>
      <c r="B30" s="11">
        <v>1551416000</v>
      </c>
    </row>
    <row r="31" spans="1:2" x14ac:dyDescent="0.25">
      <c r="A31" t="s">
        <v>32</v>
      </c>
      <c r="B31" s="13">
        <v>195387000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0.1131925802114353</v>
      </c>
      <c r="C5" s="10">
        <f>Assumptions!B6</f>
        <v>0.1131925802114353</v>
      </c>
      <c r="D5" s="10">
        <f>Assumptions!B6</f>
        <v>0.1131925802114353</v>
      </c>
      <c r="E5" s="10">
        <f>Assumptions!B6</f>
        <v>0.1131925802114353</v>
      </c>
      <c r="F5" s="10">
        <f>Assumptions!B6</f>
        <v>0.1131925802114353</v>
      </c>
    </row>
    <row r="6" spans="1:6" x14ac:dyDescent="0.25">
      <c r="A6" t="s">
        <v>43</v>
      </c>
      <c r="B6" s="18">
        <f>Assumptions!B29*(1+B5)</f>
        <v>7923906273.802014</v>
      </c>
      <c r="C6" s="18">
        <f>B6*(1+C5)</f>
        <v>8820833670.287245</v>
      </c>
      <c r="D6" s="18">
        <f>C6*(1+D5)</f>
        <v>9819286593.042963</v>
      </c>
      <c r="E6" s="18">
        <f>D6*(1+E5)</f>
        <v>10930756978.34505</v>
      </c>
      <c r="F6" s="18">
        <f>E6*(1+F5)</f>
        <v>12168037564.388079</v>
      </c>
    </row>
    <row r="7" spans="1:6" x14ac:dyDescent="0.25">
      <c r="A7" t="s">
        <v>5</v>
      </c>
      <c r="B7" s="10">
        <f>Assumptions!B7</f>
        <v>0.06519360432430049</v>
      </c>
      <c r="C7" s="10">
        <f>Assumptions!B7</f>
        <v>0.06519360432430049</v>
      </c>
      <c r="D7" s="10">
        <f>Assumptions!B7</f>
        <v>0.06519360432430049</v>
      </c>
      <c r="E7" s="10">
        <f>Assumptions!B7</f>
        <v>0.06519360432430049</v>
      </c>
      <c r="F7" s="10">
        <f>Assumptions!B7</f>
        <v>0.06519360432430049</v>
      </c>
    </row>
    <row r="8" spans="1:6" x14ac:dyDescent="0.25">
      <c r="A8" t="s">
        <v>44</v>
      </c>
      <c r="B8" s="18">
        <f>B6*B7</f>
        <v>516588010.3170908</v>
      </c>
      <c r="C8" s="18">
        <f>C6*C7</f>
        <v>575061940.1111739</v>
      </c>
      <c r="D8" s="18">
        <f>D6*D7</f>
        <v>640154684.8937515</v>
      </c>
      <c r="E8" s="18">
        <f>E6*E7</f>
        <v>712615445.4113137</v>
      </c>
      <c r="F8" s="18">
        <f>F6*F7</f>
        <v>793278226.3759415</v>
      </c>
    </row>
    <row r="9" spans="1:6" x14ac:dyDescent="0.25">
      <c r="A9" t="s">
        <v>45</v>
      </c>
      <c r="B9" s="18">
        <f>B8*(1-Assumptions!B8)</f>
        <v>408104528.1505017</v>
      </c>
      <c r="C9" s="18">
        <f>C8*(1-Assumptions!B8)</f>
        <v>454298932.68782735</v>
      </c>
      <c r="D9" s="18">
        <f>D8*(1-Assumptions!B8)</f>
        <v>505722201.0660637</v>
      </c>
      <c r="E9" s="18">
        <f>E8*(1-Assumptions!B8)</f>
        <v>562966201.8749378</v>
      </c>
      <c r="F9" s="18">
        <f>F8*(1-Assumptions!B8)</f>
        <v>626689798.8369938</v>
      </c>
    </row>
    <row r="10" spans="1:6" x14ac:dyDescent="0.25">
      <c r="A10" t="s">
        <v>46</v>
      </c>
      <c r="B10" s="18">
        <f>B6*Assumptions!B9</f>
        <v>831240086.641272</v>
      </c>
      <c r="C10" s="18">
        <f>C6*Assumptions!B9</f>
        <v>925330296.8233745</v>
      </c>
      <c r="D10" s="18">
        <f>D6*Assumptions!B9</f>
        <v>1030070820.6686256</v>
      </c>
      <c r="E10" s="18">
        <f>E6*Assumptions!B9</f>
        <v>1146667194.660618</v>
      </c>
      <c r="F10" s="18">
        <f>F6*Assumptions!B9</f>
        <v>1276461413.0680616</v>
      </c>
    </row>
    <row r="11" spans="1:6" x14ac:dyDescent="0.25">
      <c r="A11" t="s">
        <v>47</v>
      </c>
      <c r="B11" s="18">
        <f>-B6*Assumptions!B10</f>
        <v>-772581867.9795226</v>
      </c>
      <c r="C11" s="18">
        <f>-C6*Assumptions!B10</f>
        <v>-860032403.0406953</v>
      </c>
      <c r="D11" s="18">
        <f>-D6*Assumptions!B10</f>
        <v>-957381689.8063127</v>
      </c>
      <c r="E11" s="18">
        <f>-E6*Assumptions!B10</f>
        <v>-1065750193.5226732</v>
      </c>
      <c r="F11" s="18">
        <f>-F6*Assumptions!B10</f>
        <v>-1186385207.788341</v>
      </c>
    </row>
    <row r="12" spans="1:6" x14ac:dyDescent="0.25">
      <c r="A12" t="s">
        <v>48</v>
      </c>
      <c r="B12" s="18">
        <f>-(B6-Assumptions!B29)*Assumptions!B11</f>
        <v>-185826593.445302</v>
      </c>
      <c r="C12" s="18">
        <f>-(C6-B6)*Assumptions!B11</f>
        <v>-206860785.02927735</v>
      </c>
      <c r="D12" s="18">
        <f>-(D6-C6)*Assumptions!B11</f>
        <v>-230275891.0313042</v>
      </c>
      <c r="E12" s="18">
        <f>-(E6-D6)*Assumptions!B11</f>
        <v>-256341413.29762504</v>
      </c>
      <c r="F12" s="18">
        <f>-(F6-E6)*Assumptions!B11</f>
        <v>-285357359.28382885</v>
      </c>
    </row>
    <row r="13" spans="1:6" x14ac:dyDescent="0.25">
      <c r="A13" s="19" t="s">
        <v>49</v>
      </c>
      <c r="B13" s="20">
        <f>B9+B10+B11+B12</f>
        <v>280936153.3669492</v>
      </c>
      <c r="C13" s="20">
        <f>C9+C10+C11+C12</f>
        <v>312736041.4412292</v>
      </c>
      <c r="D13" s="20">
        <f>D9+D10+D11+D12</f>
        <v>348135440.8970723</v>
      </c>
      <c r="E13" s="20">
        <f>E9+E10+E11+E12</f>
        <v>387541789.7152575</v>
      </c>
      <c r="F13" s="20">
        <f>F9+F10+F11+F12</f>
        <v>431408644.8328856</v>
      </c>
    </row>
    <row r="14" spans="1:6" x14ac:dyDescent="0.25">
      <c r="A14" t="s">
        <v>50</v>
      </c>
      <c r="B14" s="21">
        <f>1/(1+Assumptions!$B$26)^(1-0.5*Assumptions!$B$32)</f>
        <v>0.9365879365248436</v>
      </c>
      <c r="C14" s="21">
        <f>1/(1+Assumptions!$B$26)^(2-0.5*Assumptions!$B$32)</f>
        <v>0.8215720933557948</v>
      </c>
      <c r="D14" s="21">
        <f>1/(1+Assumptions!$B$26)^(3-0.5*Assumptions!$B$32)</f>
        <v>0.720680545048979</v>
      </c>
      <c r="E14" s="21">
        <f>1/(1+Assumptions!$B$26)^(4-0.5*Assumptions!$B$32)</f>
        <v>0.6321787852976253</v>
      </c>
      <c r="F14" s="21">
        <f>1/(1+Assumptions!$B$26)^(5-0.5*Assumptions!$B$32)</f>
        <v>0.5545453104374004</v>
      </c>
    </row>
    <row r="15" spans="1:6" x14ac:dyDescent="0.25">
      <c r="A15" s="19" t="s">
        <v>51</v>
      </c>
      <c r="B15" s="20">
        <f>B13*B14</f>
        <v>263121412.17717797</v>
      </c>
      <c r="C15" s="20">
        <f>C13*C14</f>
        <v>256935204.2346753</v>
      </c>
      <c r="D15" s="20">
        <f>D13*D14</f>
        <v>250894439.29656872</v>
      </c>
      <c r="E15" s="20">
        <f>E13*E14</f>
        <v>244995697.87425923</v>
      </c>
      <c r="F15" s="20">
        <f>F13*F14</f>
        <v>239235640.87423077</v>
      </c>
    </row>
    <row r="17" spans="1:2" x14ac:dyDescent="0.25">
      <c r="A17" s="22" t="s">
        <v>52</v>
      </c>
      <c r="B17" s="23">
        <f>SUM(B15:F15)</f>
        <v>1255182394.456912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431408644.8328856</v>
      </c>
    </row>
    <row r="5" spans="1:2" x14ac:dyDescent="0.25">
      <c r="A5" t="s">
        <v>56</v>
      </c>
      <c r="B5" s="18">
        <f>IF(Assumptions!$B$33=0,B4,B4-Forecast!F11-Forecast!F10-Forecast!F12)</f>
        <v>1186542343.2131355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0.1785780268871872</v>
      </c>
    </row>
    <row r="7" spans="1:2" x14ac:dyDescent="0.25">
      <c r="A7" t="s">
        <v>58</v>
      </c>
      <c r="B7" s="18">
        <f>-MAX(Forecast!F9,0)*B6</f>
        <v>-211890390.46910143</v>
      </c>
    </row>
    <row r="8" spans="1:2" x14ac:dyDescent="0.25">
      <c r="A8" t="s">
        <v>59</v>
      </c>
      <c r="B8" s="18">
        <f>IF(OR(Assumptions!$B$33=0,Assumptions!B12&lt;=0),B5,MAX(B5+B7,0))</f>
        <v>974651952.744034</v>
      </c>
    </row>
    <row r="9" spans="1:2" x14ac:dyDescent="0.25">
      <c r="A9" t="s">
        <v>60</v>
      </c>
      <c r="B9" s="18">
        <f>B8*(1+Assumptions!B12)/(Assumptions!B26-Assumptions!B12)</f>
        <v>8687506009.233156</v>
      </c>
    </row>
    <row r="10" spans="1:2" x14ac:dyDescent="0.25">
      <c r="A10" t="s">
        <v>61</v>
      </c>
      <c r="B10" s="18">
        <f>B9/(1+Assumptions!B26)^(5-0.5*Assumptions!B32)</f>
        <v>4817615716.816982</v>
      </c>
    </row>
    <row r="11" spans="1:2" x14ac:dyDescent="0.25">
      <c r="A11" t="s">
        <v>62</v>
      </c>
      <c r="B11" s="18">
        <f>Forecast!B17+B10</f>
        <v>6072798111.273894</v>
      </c>
    </row>
    <row r="12" spans="1:2" x14ac:dyDescent="0.25">
      <c r="A12" t="s">
        <v>63</v>
      </c>
      <c r="B12" s="18">
        <f>-Assumptions!B30</f>
        <v>-1551416000</v>
      </c>
    </row>
    <row r="13" spans="1:2" x14ac:dyDescent="0.25">
      <c r="A13" t="s">
        <v>64</v>
      </c>
      <c r="B13" s="18">
        <f>B11+B12</f>
        <v>4521382111.273894</v>
      </c>
    </row>
    <row r="14" spans="1:2" x14ac:dyDescent="0.25">
      <c r="A14" s="19" t="s">
        <v>65</v>
      </c>
      <c r="B14" s="24">
        <f>B13/Assumptions!B31</f>
        <v>23.140649640323534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2069739639.444003</v>
      </c>
    </row>
    <row r="18" spans="1:2" x14ac:dyDescent="0.25">
      <c r="A18" t="s">
        <v>60</v>
      </c>
      <c r="B18" s="18">
        <f>B17*Assumptions!B13</f>
        <v>41394792788.880066</v>
      </c>
    </row>
    <row r="19" spans="1:2" x14ac:dyDescent="0.25">
      <c r="A19" t="s">
        <v>61</v>
      </c>
      <c r="B19" s="18">
        <f>B18/(1+Assumptions!B26)^(5-0.5*Assumptions!B32)</f>
        <v>22955288217.60136</v>
      </c>
    </row>
    <row r="20" spans="1:2" x14ac:dyDescent="0.25">
      <c r="A20" t="s">
        <v>62</v>
      </c>
      <c r="B20" s="18">
        <f>Forecast!B17+B19</f>
        <v>24210470612.058273</v>
      </c>
    </row>
    <row r="21" spans="1:2" x14ac:dyDescent="0.25">
      <c r="A21" t="s">
        <v>63</v>
      </c>
      <c r="B21" s="18">
        <f>-Assumptions!B30</f>
        <v>-1551416000</v>
      </c>
    </row>
    <row r="22" spans="1:2" x14ac:dyDescent="0.25">
      <c r="A22" t="s">
        <v>64</v>
      </c>
      <c r="B22" s="18">
        <f>B20+B21</f>
        <v>22659054612.058273</v>
      </c>
    </row>
    <row r="23" spans="1:2" x14ac:dyDescent="0.25">
      <c r="A23" s="19" t="s">
        <v>65</v>
      </c>
      <c r="B23" s="25">
        <f>B22/Assumptions!B31</f>
        <v>115.97012396965138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317.36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23.140649640323534</v>
      </c>
    </row>
    <row r="29" spans="1:2" x14ac:dyDescent="0.25">
      <c r="A29" s="19" t="s">
        <v>73</v>
      </c>
      <c r="B29" s="12">
        <f>B28/B26-1</f>
        <v>-0.92708391214922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0.119995</v>
      </c>
      <c r="B5" s="31">
        <v>29.61831894860776</v>
      </c>
      <c r="C5" s="31">
        <v>29.770276418317312</v>
      </c>
      <c r="D5" s="31">
        <v>29.922233888026874</v>
      </c>
      <c r="E5" s="31">
        <v>30.074191357736435</v>
      </c>
      <c r="F5" s="31">
        <v>30.226148827445986</v>
      </c>
    </row>
    <row r="6" spans="1:6" x14ac:dyDescent="0.25">
      <c r="A6" s="30">
        <v>0.129995</v>
      </c>
      <c r="B6" s="31">
        <v>25.982579676047216</v>
      </c>
      <c r="C6" s="31">
        <v>26.117347614254555</v>
      </c>
      <c r="D6" s="31">
        <v>26.252115552461873</v>
      </c>
      <c r="E6" s="31">
        <v>26.38688349066921</v>
      </c>
      <c r="F6" s="31">
        <v>26.521651428876527</v>
      </c>
    </row>
    <row r="7" spans="1:6" x14ac:dyDescent="0.25">
      <c r="A7" s="30">
        <v>0.139995</v>
      </c>
      <c r="B7" s="31">
        <v>22.900046411640655</v>
      </c>
      <c r="C7" s="31">
        <v>23.020323192654146</v>
      </c>
      <c r="D7" s="32">
        <v>23.140599973667626</v>
      </c>
      <c r="E7" s="31">
        <v>23.260876754681124</v>
      </c>
      <c r="F7" s="31">
        <v>23.38115353569461</v>
      </c>
    </row>
    <row r="8" spans="1:6" x14ac:dyDescent="0.25">
      <c r="A8" s="30">
        <v>0.149995</v>
      </c>
      <c r="B8" s="31">
        <v>20.258340886951363</v>
      </c>
      <c r="C8" s="31">
        <v>20.36627258605024</v>
      </c>
      <c r="D8" s="31">
        <v>20.474204285149117</v>
      </c>
      <c r="E8" s="31">
        <v>20.582135984248005</v>
      </c>
      <c r="F8" s="31">
        <v>20.690067683346882</v>
      </c>
    </row>
    <row r="9" spans="1:6" x14ac:dyDescent="0.25">
      <c r="A9" s="30">
        <v>0.159995</v>
      </c>
      <c r="B9" s="31">
        <v>17.973282767005152</v>
      </c>
      <c r="C9" s="31">
        <v>18.070601992131795</v>
      </c>
      <c r="D9" s="31">
        <v>18.167921217258442</v>
      </c>
      <c r="E9" s="31">
        <v>18.26524044238509</v>
      </c>
      <c r="F9" s="31">
        <v>18.36255966751174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7118181000</v>
      </c>
      <c r="C5" s="18">
        <v>5810115000</v>
      </c>
      <c r="D5" s="18">
        <v>4707688000</v>
      </c>
      <c r="E5" s="18">
        <v>5160100000</v>
      </c>
      <c r="F5" s="8" t="s">
        <v>84</v>
      </c>
    </row>
    <row r="6" spans="1:6" x14ac:dyDescent="0.25">
      <c r="A6" t="s">
        <v>44</v>
      </c>
      <c r="B6" s="18">
        <v>901522000</v>
      </c>
      <c r="C6" s="18">
        <v>534947000</v>
      </c>
      <c r="D6" s="18">
        <v>123175000</v>
      </c>
      <c r="E6" s="18">
        <v>81981000</v>
      </c>
      <c r="F6" s="8" t="s">
        <v>85</v>
      </c>
    </row>
    <row r="7" spans="1:6" x14ac:dyDescent="0.25">
      <c r="A7" t="s">
        <v>86</v>
      </c>
      <c r="B7" s="18">
        <v>521895000</v>
      </c>
      <c r="C7" s="18">
        <v>553598000</v>
      </c>
      <c r="D7" s="18">
        <v>559761000</v>
      </c>
      <c r="E7" s="18">
        <v>681687000</v>
      </c>
      <c r="F7" s="8" t="s">
        <v>87</v>
      </c>
    </row>
    <row r="8" spans="1:6" x14ac:dyDescent="0.25">
      <c r="A8" t="s">
        <v>88</v>
      </c>
      <c r="B8" s="18">
        <v>1110083000</v>
      </c>
      <c r="C8" s="18">
        <v>440836000</v>
      </c>
      <c r="D8" s="18">
        <v>346816000</v>
      </c>
      <c r="E8" s="18">
        <v>436060000</v>
      </c>
      <c r="F8" s="8" t="s">
        <v>89</v>
      </c>
    </row>
    <row r="9" spans="1:6" x14ac:dyDescent="0.25">
      <c r="A9" t="s">
        <v>90</v>
      </c>
      <c r="B9" s="18">
        <v>1102166000</v>
      </c>
      <c r="C9" s="18">
        <v>208134000</v>
      </c>
      <c r="D9" s="18">
        <v>-104341000</v>
      </c>
      <c r="E9" s="18">
        <v>-124628000</v>
      </c>
      <c r="F9" s="8" t="s">
        <v>91</v>
      </c>
    </row>
    <row r="10" spans="1:6" x14ac:dyDescent="0.25">
      <c r="A10" t="s">
        <v>92</v>
      </c>
      <c r="B10" s="18">
        <v>3538434000</v>
      </c>
      <c r="C10" s="18">
        <v>3893658000</v>
      </c>
      <c r="D10" s="18">
        <v>4303153000</v>
      </c>
      <c r="E10" s="18">
        <v>4488817000</v>
      </c>
      <c r="F10" s="8" t="s">
        <v>93</v>
      </c>
    </row>
    <row r="11" spans="1:6" x14ac:dyDescent="0.25">
      <c r="A11" t="s">
        <v>94</v>
      </c>
      <c r="B11" s="18">
        <v>1987018000</v>
      </c>
      <c r="C11" s="18">
        <v>909200000</v>
      </c>
      <c r="D11" s="18">
        <v>926033000</v>
      </c>
      <c r="E11" s="18">
        <v>821310000</v>
      </c>
      <c r="F11" s="8" t="s">
        <v>95</v>
      </c>
    </row>
    <row r="12" spans="1:6" x14ac:dyDescent="0.25">
      <c r="A12" t="s">
        <v>32</v>
      </c>
      <c r="B12" s="34">
        <v>195387000</v>
      </c>
      <c r="C12" s="34">
        <v>154800000</v>
      </c>
      <c r="D12" s="34">
        <v>151600000</v>
      </c>
      <c r="E12" s="34">
        <v>137578000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