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<sst xmlns="http://schemas.openxmlformats.org/spreadsheetml/2006/main" count="117" uniqueCount="105">
  <si>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Coinbase Global, Inc. (COIN)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</si>
  <si>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</si>
  <si>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</si>
  <si>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</si>
  <si>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</si>
  <si>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</si>
  <si>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</si>
  <si>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</si>
  <si>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</si>
  <si>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</si>
  <si>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</si>
  <si>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</si>
  <si>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</si>
  <si>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</si>
  <si>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</si>
  <si>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</si>
  <si>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</si>
  <si>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</si>
  <si>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</si>
  <si>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Clamped from a reported 3.388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</si>
  <si>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</si>
  <si>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</si>
  <si>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</si>
  <si>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</si>
  <si>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</si>
  <si>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</si>
  <si>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</si>
  <si>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</si>
  <si>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</si>
  <si>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</si>
  <si>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</si>
  <si>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</si>
  <si>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</si>
  <si>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</si>
  <si>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</si>
  <si>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</si>
  <si>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</si>
  <si>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</si>
  <si>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</si>
  <si>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</si>
  <si>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</si>
  <si>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</si>
  <si>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</si>
  <si>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</si>
  <si>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</si>
  <si>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</si>
  <si>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</si>
  <si>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</si>
  <si>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</si>
  <si>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</si>
  <si>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</si>
  <si>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</si>
  <si>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</si>
  <si>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</si>
  <si>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</si>
  <si>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</si>
  <si>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</si>
  <si>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</si>
  <si>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</si>
  <si>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</si>
  <si>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</si>
  <si>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</si>
  <si>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</si>
  <si>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</si>
  <si>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</si>
  <si>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</si>
  <si>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</si>
  <si>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</si>
  <si>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</si>
  <si>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</si>
  <si>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</si>
  <si>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</si>
  <si>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</si>
  <si>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</si>
  <si>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</si>
  <si>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</si>
  <si>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</si>
  <si>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</si>
  <si>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</si>
  <si>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</si>
  <si>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</si>
  <si>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</si>
  <si>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</si>
  <si>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</si>
  <si>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</si>
  <si>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</si>
  <si>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</si>
  <si>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</si>
  <si>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</si>
  <si>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</si>
  <si>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</si>
  <si>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</si>
  <si>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</si>
  <si>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</si>
  <si>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</si>
  <si>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</si>
  <si>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</si>
  <si>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</si>
  <si>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</si>
  <si>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model values the shares at 4.4%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</si>
  <si>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Reported capital expenditure averages 1.01% of revenue against depreciation and amortisation of 3.47%. A business cannot depreciate more than it invests indefinitely. Capex has been set to 3.47%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</si>
  <si>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Beta of 3.388 is not usable in a cost of equity. Clamped to 2.50.</t>
  </si>
  <si>
    <t>Adjusted: Free cashflow is negative in at least one forecast year, so terminal value carries most of the valuation.</t>
  </si>
  <si>
    <t>Current EV/EBITDA of 28.7x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</si>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</sst>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0.3100276522124539</v>
      </c>
    </row>
    <row r="7" spans="1:2" x14ac:dyDescent="0.25">
      <c r="A7" t="s">
        <v>5</v>
      </c>
      <c r="B7" s="6">
        <v>-0.020898949158483532</v>
      </c>
    </row>
    <row r="8" spans="1:2" x14ac:dyDescent="0.25">
      <c r="A8" t="s">
        <v>6</v>
      </c>
      <c r="B8" s="6">
        <v>0.1477586518388753</v>
      </c>
    </row>
    <row r="9" spans="1:2" x14ac:dyDescent="0.25">
      <c r="A9" t="s">
        <v>7</v>
      </c>
      <c r="B9" s="6">
        <v>0.03470589778248865</v>
      </c>
    </row>
    <row r="10" spans="1:2" x14ac:dyDescent="0.25">
      <c r="A10" t="s">
        <v>8</v>
      </c>
      <c r="B10" s="6">
        <v>0.03470589778248865</v>
      </c>
    </row>
    <row r="11" spans="1:2" x14ac:dyDescent="0.25">
      <c r="A11" t="s">
        <v>9</v>
      </c>
      <c r="B11" s="6">
        <v>0.050878264433489875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0.16827508245681128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2.5</v>
      </c>
      <c r="C19" s="8" t="s">
        <v>19</v>
      </c>
    </row>
    <row r="20" spans="1:2" x14ac:dyDescent="0.25">
      <c r="A20" t="s">
        <v>20</v>
      </c>
      <c r="B20" s="10">
        <f>B17+B19*B18</f>
        <v>0.18748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51250323456</v>
      </c>
    </row>
    <row r="23" spans="1:2" x14ac:dyDescent="0.25">
      <c r="A23" t="s">
        <v>24</v>
      </c>
      <c r="B23" s="11">
        <v>7831459000</v>
      </c>
    </row>
    <row r="24" spans="1:2" x14ac:dyDescent="0.25">
      <c r="A24" t="s">
        <v>25</v>
      </c>
      <c r="B24" s="10">
        <f>B22/(B22+B23)</f>
        <v>0.8674471440357724</v>
      </c>
    </row>
    <row r="25" spans="1:2" x14ac:dyDescent="0.25">
      <c r="A25" t="s">
        <v>26</v>
      </c>
      <c r="B25" s="10">
        <f>1-B24</f>
        <v>0.1325528559642276</v>
      </c>
    </row>
    <row r="26" spans="1:2" x14ac:dyDescent="0.25">
      <c r="A26" t="s">
        <v>27</v>
      </c>
      <c r="B26" s="12">
        <f>B24*B20+B25*B21*(1-B8)</f>
        <v>0.16827508245681128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7181325000</v>
      </c>
      <c r="C29" s="8" t="s">
        <v>30</v>
      </c>
    </row>
    <row r="30" spans="1:2" x14ac:dyDescent="0.25">
      <c r="A30" t="s">
        <v>31</v>
      </c>
      <c r="B30" s="11">
        <v>-4082607000</v>
      </c>
    </row>
    <row r="31" spans="1:2" x14ac:dyDescent="0.25">
      <c r="A31" t="s">
        <v>32</v>
      </c>
      <c r="B31" s="13">
        <v>287209000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0.3100276522124539</v>
      </c>
      <c r="C5" s="10">
        <f>Assumptions!B6</f>
        <v>0.3100276522124539</v>
      </c>
      <c r="D5" s="10">
        <f>Assumptions!B6</f>
        <v>0.3100276522124539</v>
      </c>
      <c r="E5" s="10">
        <f>Assumptions!B6</f>
        <v>0.3100276522124539</v>
      </c>
      <c r="F5" s="10">
        <f>Assumptions!B6</f>
        <v>0.3100276522124539</v>
      </c>
    </row>
    <row r="6" spans="1:6" x14ac:dyDescent="0.25">
      <c r="A6" t="s">
        <v>43</v>
      </c>
      <c r="B6" s="18">
        <f>Assumptions!B29*(1+B5)</f>
        <v>9407734329.524601</v>
      </c>
      <c r="C6" s="18">
        <f>B6*(1+C5)</f>
        <v>12324392116.345617</v>
      </c>
      <c r="D6" s="18">
        <f>C6*(1+D5)</f>
        <v>16145294469.121925</v>
      </c>
      <c r="E6" s="18">
        <f>D6*(1+E5)</f>
        <v>21150782207.662514</v>
      </c>
      <c r="F6" s="18">
        <f>E6*(1+F5)</f>
        <v>27708109557.961063</v>
      </c>
    </row>
    <row r="7" spans="1:6" x14ac:dyDescent="0.25">
      <c r="A7" t="s">
        <v>5</v>
      </c>
      <c r="B7" s="10">
        <f>Assumptions!B7</f>
        <v>-0.020898949158483532</v>
      </c>
      <c r="C7" s="10">
        <f>Assumptions!B7</f>
        <v>-0.020898949158483532</v>
      </c>
      <c r="D7" s="10">
        <f>Assumptions!B7</f>
        <v>-0.020898949158483532</v>
      </c>
      <c r="E7" s="10">
        <f>Assumptions!B7</f>
        <v>-0.020898949158483532</v>
      </c>
      <c r="F7" s="10">
        <f>Assumptions!B7</f>
        <v>-0.020898949158483532</v>
      </c>
    </row>
    <row r="8" spans="1:6" x14ac:dyDescent="0.25">
      <c r="A8" t="s">
        <v>44</v>
      </c>
      <c r="B8" s="18">
        <f>B6*B7</f>
        <v>-196611761.44925478</v>
      </c>
      <c r="C8" s="18">
        <f>C6*C7</f>
        <v>-257566844.2487223</v>
      </c>
      <c r="D8" s="18">
        <f>D6*D7</f>
        <v>-337419688.2589245</v>
      </c>
      <c r="E8" s="18">
        <f>E6*E7</f>
        <v>-442029122.02009696</v>
      </c>
      <c r="F8" s="18">
        <f>F6*F7</f>
        <v>-579070372.9295199</v>
      </c>
    </row>
    <row r="9" spans="1:6" x14ac:dyDescent="0.25">
      <c r="A9" t="s">
        <v>45</v>
      </c>
      <c r="B9" s="18">
        <f>B8*(1-Assumptions!B8)</f>
        <v>-167560672.64184636</v>
      </c>
      <c r="C9" s="18">
        <f>C8*(1-Assumptions!B8)</f>
        <v>-219509114.58413753</v>
      </c>
      <c r="D9" s="18">
        <f>D8*(1-Assumptions!B8)</f>
        <v>-287563010.01789224</v>
      </c>
      <c r="E9" s="18">
        <f>E8*(1-Assumptions!B8)</f>
        <v>-376715494.8768857</v>
      </c>
      <c r="F9" s="18">
        <f>F8*(1-Assumptions!B8)</f>
        <v>-493507715.3056193</v>
      </c>
    </row>
    <row r="10" spans="1:6" x14ac:dyDescent="0.25">
      <c r="A10" t="s">
        <v>46</v>
      </c>
      <c r="B10" s="18">
        <f>B6*Assumptions!B9</f>
        <v>326503866.0052902</v>
      </c>
      <c r="C10" s="18">
        <f>C6*Assumptions!B9</f>
        <v>427729093.02119994</v>
      </c>
      <c r="D10" s="18">
        <f>D6*Assumptions!B9</f>
        <v>560336939.5135249</v>
      </c>
      <c r="E10" s="18">
        <f>E6*Assumptions!B9</f>
        <v>734056885.3188149</v>
      </c>
      <c r="F10" s="18">
        <f>F6*Assumptions!B9</f>
        <v>961634818.0645934</v>
      </c>
    </row>
    <row r="11" spans="1:6" x14ac:dyDescent="0.25">
      <c r="A11" t="s">
        <v>47</v>
      </c>
      <c r="B11" s="18">
        <f>-B6*Assumptions!B10</f>
        <v>-326503866.0052902</v>
      </c>
      <c r="C11" s="18">
        <f>-C6*Assumptions!B10</f>
        <v>-427729093.02119994</v>
      </c>
      <c r="D11" s="18">
        <f>-D6*Assumptions!B10</f>
        <v>-560336939.5135249</v>
      </c>
      <c r="E11" s="18">
        <f>-E6*Assumptions!B10</f>
        <v>-734056885.3188149</v>
      </c>
      <c r="F11" s="18">
        <f>-F6*Assumptions!B10</f>
        <v>-961634818.0645934</v>
      </c>
    </row>
    <row r="12" spans="1:6" x14ac:dyDescent="0.25">
      <c r="A12" t="s">
        <v>48</v>
      </c>
      <c r="B12" s="18">
        <f>-(B6-Assumptions!B29)*Assumptions!B11</f>
        <v>-113275842.60474154</v>
      </c>
      <c r="C12" s="18">
        <f>-(C6-B6)*Assumptions!B11</f>
        <v>-148394486.13987702</v>
      </c>
      <c r="D12" s="18">
        <f>-(D6-C6)*Assumptions!B11</f>
        <v>-194400880.27909663</v>
      </c>
      <c r="E12" s="18">
        <f>-(E6-D6)*Assumptions!B11</f>
        <v>-254670528.78005928</v>
      </c>
      <c r="F12" s="18">
        <f>-(F6-E6)*Assumptions!B11</f>
        <v>-333625434.9054451</v>
      </c>
    </row>
    <row r="13" spans="1:6" x14ac:dyDescent="0.25">
      <c r="A13" s="19" t="s">
        <v>49</v>
      </c>
      <c r="B13" s="20">
        <f>B9+B10+B11+B12</f>
        <v>-280836515.2465879</v>
      </c>
      <c r="C13" s="20">
        <f>C9+C10+C11+C12</f>
        <v>-367903600.7240145</v>
      </c>
      <c r="D13" s="20">
        <f>D9+D10+D11+D12</f>
        <v>-481963890.29698884</v>
      </c>
      <c r="E13" s="20">
        <f>E9+E10+E11+E12</f>
        <v>-631386023.656945</v>
      </c>
      <c r="F13" s="20">
        <f>F9+F10+F11+F12</f>
        <v>-827133150.2110643</v>
      </c>
    </row>
    <row r="14" spans="1:6" x14ac:dyDescent="0.25">
      <c r="A14" t="s">
        <v>50</v>
      </c>
      <c r="B14" s="21">
        <f>1/(1+Assumptions!$B$26)^(1-0.5*Assumptions!$B$32)</f>
        <v>0.9251825716032656</v>
      </c>
      <c r="C14" s="21">
        <f>1/(1+Assumptions!$B$26)^(2-0.5*Assumptions!$B$32)</f>
        <v>0.7919218559876009</v>
      </c>
      <c r="D14" s="21">
        <f>1/(1+Assumptions!$B$26)^(3-0.5*Assumptions!$B$32)</f>
        <v>0.6778556419454205</v>
      </c>
      <c r="E14" s="21">
        <f>1/(1+Assumptions!$B$26)^(4-0.5*Assumptions!$B$32)</f>
        <v>0.5802192070380645</v>
      </c>
      <c r="F14" s="21">
        <f>1/(1+Assumptions!$B$26)^(5-0.5*Assumptions!$B$32)</f>
        <v>0.4966460517311546</v>
      </c>
    </row>
    <row r="15" spans="1:6" x14ac:dyDescent="0.25">
      <c r="A15" s="19" t="s">
        <v>51</v>
      </c>
      <c r="B15" s="20">
        <f>B13*B14</f>
        <v>-259825049.37593785</v>
      </c>
      <c r="C15" s="20">
        <f>C13*C14</f>
        <v>-291350902.3098828</v>
      </c>
      <c r="D15" s="20">
        <f>D13*D14</f>
        <v>-326701942.2517776</v>
      </c>
      <c r="E15" s="20">
        <f>E13*E14</f>
        <v>-366342297.98114926</v>
      </c>
      <c r="F15" s="20">
        <f>F13*F14</f>
        <v>-410792413.30827713</v>
      </c>
    </row>
    <row r="17" spans="1:2" x14ac:dyDescent="0.25">
      <c r="A17" s="22" t="s">
        <v>52</v>
      </c>
      <c r="B17" s="23">
        <f>SUM(B15:F15)</f>
        <v>-1655012605.2270246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-827133150.2110643</v>
      </c>
    </row>
    <row r="5" spans="1:2" x14ac:dyDescent="0.25">
      <c r="A5" t="s">
        <v>56</v>
      </c>
      <c r="B5" s="18">
        <f>IF(Assumptions!$B$33=0,B4,B4-Forecast!F11-Forecast!F10-Forecast!F12)</f>
        <v>-493507715.3056193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0.14856626206923054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-1655012605.2270246</v>
      </c>
    </row>
    <row r="12" spans="1:2" x14ac:dyDescent="0.25">
      <c r="A12" t="s">
        <v>63</v>
      </c>
      <c r="B12" s="18">
        <f>-Assumptions!B30</f>
        <v>4082607000</v>
      </c>
    </row>
    <row r="13" spans="1:2" x14ac:dyDescent="0.25">
      <c r="A13" t="s">
        <v>64</v>
      </c>
      <c r="B13" s="18">
        <f>B11+B12</f>
        <v>2427594394.7729754</v>
      </c>
    </row>
    <row r="14" spans="1:2" x14ac:dyDescent="0.25">
      <c r="A14" s="19" t="s">
        <v>65</v>
      </c>
      <c r="B14" s="24">
        <f>B13/Assumptions!B31</f>
        <v>8.452361850683562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382564445.13507354</v>
      </c>
    </row>
    <row r="18" spans="1:2" x14ac:dyDescent="0.25">
      <c r="A18" t="s">
        <v>60</v>
      </c>
      <c r="B18" s="18">
        <f>B17*Assumptions!B13</f>
        <v>7651288902.701471</v>
      </c>
    </row>
    <row r="19" spans="1:2" x14ac:dyDescent="0.25">
      <c r="A19" t="s">
        <v>61</v>
      </c>
      <c r="B19" s="18">
        <f>B18/(1+Assumptions!B26)^(5-0.5*Assumptions!B32)</f>
        <v>3799982424.181084</v>
      </c>
    </row>
    <row r="20" spans="1:2" x14ac:dyDescent="0.25">
      <c r="A20" t="s">
        <v>62</v>
      </c>
      <c r="B20" s="18">
        <f>Forecast!B17+B19</f>
        <v>2144969818.9540596</v>
      </c>
    </row>
    <row r="21" spans="1:2" x14ac:dyDescent="0.25">
      <c r="A21" t="s">
        <v>63</v>
      </c>
      <c r="B21" s="18">
        <f>-Assumptions!B30</f>
        <v>4082607000</v>
      </c>
    </row>
    <row r="22" spans="1:2" x14ac:dyDescent="0.25">
      <c r="A22" t="s">
        <v>64</v>
      </c>
      <c r="B22" s="18">
        <f>B20+B21</f>
        <v>6227576818.95406</v>
      </c>
    </row>
    <row r="23" spans="1:2" x14ac:dyDescent="0.25">
      <c r="A23" s="19" t="s">
        <v>65</v>
      </c>
      <c r="B23" s="25">
        <f>B22/Assumptions!B31</f>
        <v>21.683083813369567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194.25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8.452361850683562</v>
      </c>
    </row>
    <row r="29" spans="1:2" x14ac:dyDescent="0.25">
      <c r="A29" s="19" t="s">
        <v>73</v>
      </c>
      <c r="B29" s="12">
        <f>B28/B26-1</f>
        <v>-0.9564871976798787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0.148275</v>
      </c>
      <c r="B5" s="31">
        <v>8.172682478363885</v>
      </c>
      <c r="C5" s="31">
        <v>8.172682478363885</v>
      </c>
      <c r="D5" s="31">
        <v>8.172682478363885</v>
      </c>
      <c r="E5" s="31">
        <v>8.172682478363885</v>
      </c>
      <c r="F5" s="31">
        <v>8.172682478363885</v>
      </c>
    </row>
    <row r="6" spans="1:6" x14ac:dyDescent="0.25">
      <c r="A6" s="30">
        <v>0.158275</v>
      </c>
      <c r="B6" s="31">
        <v>8.315213210817632</v>
      </c>
      <c r="C6" s="31">
        <v>8.315213210817632</v>
      </c>
      <c r="D6" s="31">
        <v>8.315213210817632</v>
      </c>
      <c r="E6" s="31">
        <v>8.315213210817632</v>
      </c>
      <c r="F6" s="31">
        <v>8.315213210817632</v>
      </c>
    </row>
    <row r="7" spans="1:6" x14ac:dyDescent="0.25">
      <c r="A7" s="30">
        <v>0.168275</v>
      </c>
      <c r="B7" s="31">
        <v>8.45236074128135</v>
      </c>
      <c r="C7" s="31">
        <v>8.45236074128135</v>
      </c>
      <c r="D7" s="32">
        <v>8.45236074128135</v>
      </c>
      <c r="E7" s="31">
        <v>8.45236074128135</v>
      </c>
      <c r="F7" s="31">
        <v>8.45236074128135</v>
      </c>
    </row>
    <row r="8" spans="1:6" x14ac:dyDescent="0.25">
      <c r="A8" s="30">
        <v>0.178275</v>
      </c>
      <c r="B8" s="31">
        <v>8.584383827832095</v>
      </c>
      <c r="C8" s="31">
        <v>8.584383827832095</v>
      </c>
      <c r="D8" s="31">
        <v>8.584383827832095</v>
      </c>
      <c r="E8" s="31">
        <v>8.584383827832095</v>
      </c>
      <c r="F8" s="31">
        <v>8.584383827832095</v>
      </c>
    </row>
    <row r="9" spans="1:6" x14ac:dyDescent="0.25">
      <c r="A9" s="30">
        <v>0.188275</v>
      </c>
      <c r="B9" s="31">
        <v>8.711526420323002</v>
      </c>
      <c r="C9" s="31">
        <v>8.711526420323002</v>
      </c>
      <c r="D9" s="31">
        <v>8.711526420323002</v>
      </c>
      <c r="E9" s="31">
        <v>8.711526420323002</v>
      </c>
      <c r="F9" s="31">
        <v>8.711526420323002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7181325000</v>
      </c>
      <c r="C5" s="18">
        <v>6564028000</v>
      </c>
      <c r="D5" s="18">
        <v>3108383000</v>
      </c>
      <c r="E5" s="18">
        <v>3194208000</v>
      </c>
      <c r="F5" s="8" t="s">
        <v>84</v>
      </c>
    </row>
    <row r="6" spans="1:6" x14ac:dyDescent="0.25">
      <c r="A6" t="s">
        <v>44</v>
      </c>
      <c r="B6" s="18">
        <v>1456145000</v>
      </c>
      <c r="C6" s="18">
        <v>2235435000</v>
      </c>
      <c r="D6" s="18">
        <v>-53743000</v>
      </c>
      <c r="E6" s="18">
        <v>-1947294000</v>
      </c>
      <c r="F6" s="8" t="s">
        <v>85</v>
      </c>
    </row>
    <row r="7" spans="1:6" x14ac:dyDescent="0.25">
      <c r="A7" t="s">
        <v>86</v>
      </c>
      <c r="B7" s="18">
        <v>188428000</v>
      </c>
      <c r="C7" s="18">
        <v>127518000</v>
      </c>
      <c r="D7" s="18">
        <v>139642000</v>
      </c>
      <c r="E7" s="18">
        <v>154069000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63202000</v>
      </c>
      <c r="E8" s="18">
        <v>63971000</v>
      </c>
      <c r="F8" s="8" t="s">
        <v>89</v>
      </c>
    </row>
    <row r="9" spans="1:6" x14ac:dyDescent="0.25">
      <c r="A9" t="s">
        <v>90</v>
      </c>
      <c r="B9" s="18">
        <v>31407000</v>
      </c>
      <c r="C9" s="18">
        <v>-69089000</v>
      </c>
      <c r="D9" s="18">
        <v>-48652000</v>
      </c>
      <c r="E9" s="18">
        <v>1031448000</v>
      </c>
      <c r="F9" s="8" t="s">
        <v>91</v>
      </c>
    </row>
    <row r="10" spans="1:6" x14ac:dyDescent="0.25">
      <c r="A10" t="s">
        <v>92</v>
      </c>
      <c r="B10" s="18">
        <v>7831459000</v>
      </c>
      <c r="C10" s="18">
        <v>4694138000</v>
      </c>
      <c r="D10" s="18">
        <v>2983778000</v>
      </c>
      <c r="E10" s="18">
        <v>3489745000</v>
      </c>
      <c r="F10" s="8" t="s">
        <v>93</v>
      </c>
    </row>
    <row r="11" spans="1:6" x14ac:dyDescent="0.25">
      <c r="A11" t="s">
        <v>94</v>
      </c>
      <c r="B11" s="18">
        <v>11914066000</v>
      </c>
      <c r="C11" s="18">
        <v>9569318000</v>
      </c>
      <c r="D11" s="18">
        <v>5525369000</v>
      </c>
      <c r="E11" s="18">
        <v>5286170000</v>
      </c>
      <c r="F11" s="8" t="s">
        <v>95</v>
      </c>
    </row>
    <row r="12" spans="1:6" x14ac:dyDescent="0.25">
      <c r="A12" t="s">
        <v>32</v>
      </c>
      <c r="B12" s="34">
        <v>287209000</v>
      </c>
      <c r="C12" s="34">
        <v>273377000</v>
      </c>
      <c r="D12" s="34">
        <v>254391000</v>
      </c>
      <c r="E12" s="34">
        <v>222338000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70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1" ht="38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2026-09-19T00:08:15Z</dcterms:modified>
</cp:coreProperties>
</file>