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<sst xmlns="http://schemas.openxmlformats.org/spreadsheetml/2006/main" count="71" uniqueCount="68">
  <si>
    <t>Coinbase Global, Inc. (COIN)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</si>
  <si>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</si>
  <si>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</si>
  <si>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</si>
  <si>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</si>
  <si>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</si>
  <si>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</si>
  <si>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</si>
  <si>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</si>
  <si>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</si>
  <si>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</si>
  <si>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</si>
  <si>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</si>
  <si>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</si>
  <si>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</si>
  <si>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</si>
  <si>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</si>
  <si>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</si>
  <si>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</si>
  <si>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</si>
  <si>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</si>
  <si>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</si>
  <si>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</si>
  <si>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</si>
  <si>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</si>
  <si>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</si>
  <si>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</si>
  <si>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</si>
  <si>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</si>
  <si>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</si>
  <si>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</si>
  <si>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</si>
  <si>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</si>
  <si>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</si>
  <si>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</si>
  <si>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</si>
  <si>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</si>
  <si>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</si>
  <si>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</si>
  <si>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</si>
  <si>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</si>
  <si>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</si>
  <si>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</si>
  <si>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</si>
  <si>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</si>
  <si>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</si>
  <si>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</si>
  <si>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</si>
  <si>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</si>
  <si>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</si>
  <si>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</si>
  <si>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</si>
  <si>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</si>
  <si>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</si>
  <si>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</si>
  <si>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</si>
  <si>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</si>
  <si>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</si>
  <si>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</si>
  <si>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</si>
  <si>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not reported</t>
  </si>
  <si>
    <t>dilutedAverageShares</t>
  </si>
  <si>
    <t>Return on opening equity</t>
  </si>
  <si>
    <t>Payout</t>
  </si>
  <si>
    <t>Model notes</t>
  </si>
  <si>
    <t>Adjusted: Beta of 3.353 is not usable in a cost of equity. Clamped to 2.50.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</si>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</sst>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2.5</v>
      </c>
    </row>
    <row r="9" spans="1:2" x14ac:dyDescent="0.25">
      <c r="A9" t="s">
        <v>8</v>
      </c>
      <c r="B9" s="8">
        <f>B6+B8*B7</f>
        <v>0.15469</v>
      </c>
    </row>
    <row r="10" spans="1:2" x14ac:dyDescent="0.25">
      <c r="A10" t="s">
        <v>9</v>
      </c>
      <c r="B10" s="8">
        <f>MEDIAN('Source data'!B9:E9)</f>
        <v>0.12263757679645167</v>
      </c>
    </row>
    <row r="11" spans="1:2" x14ac:dyDescent="0.25">
      <c r="A11" t="s">
        <v>10</v>
      </c>
      <c r="B11" s="8">
        <f>IFERROR(MIN(MAX(MEDIAN('Source data'!B10:E10),0),1),0)</f>
        <v>0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14793058000</v>
      </c>
    </row>
    <row r="15" spans="1:2" x14ac:dyDescent="0.25">
      <c r="A15" t="s">
        <v>14</v>
      </c>
      <c r="B15" s="10">
        <f>'Source data'!B8</f>
        <v>287209000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0.12263757679645167</v>
      </c>
    </row>
    <row r="18" spans="1:2" x14ac:dyDescent="0.25">
      <c r="A18" t="s">
        <v>17</v>
      </c>
      <c r="B18" s="8">
        <f>MIN(B10,B12)</f>
        <v>0.12263757679645167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0.12263757679645167</v>
      </c>
      <c r="C22" s="8">
        <f>$B$10+($B$18-$B$10)*C21/$B$16</f>
        <v>0.12263757679645167</v>
      </c>
      <c r="D22" s="8">
        <f>$B$10+($B$18-$B$10)*D21/$B$16</f>
        <v>0.12263757679645167</v>
      </c>
      <c r="E22" s="8">
        <f>$B$10+($B$18-$B$10)*E21/$B$16</f>
        <v>0.12263757679645167</v>
      </c>
      <c r="F22" s="8">
        <f>$B$10+($B$18-$B$10)*F21/$B$16</f>
        <v>0.12263757679645167</v>
      </c>
      <c r="G22" s="8">
        <f>$B$10+($B$18-$B$10)*G21/$B$16</f>
        <v>0.12263757679645167</v>
      </c>
      <c r="H22" s="8">
        <f>$B$10+($B$18-$B$10)*H21/$B$16</f>
        <v>0.12263757679645167</v>
      </c>
      <c r="I22" s="8">
        <f>$B$10+($B$18-$B$10)*I21/$B$16</f>
        <v>0.12263757679645167</v>
      </c>
      <c r="J22" s="8">
        <f>$B$10+($B$18-$B$10)*J21/$B$16</f>
        <v>0.12263757679645167</v>
      </c>
      <c r="K22" s="8">
        <f>$B$10+($B$18-$B$10)*K21/$B$16</f>
        <v>0.12263757679645167</v>
      </c>
    </row>
    <row r="23" spans="1:11" x14ac:dyDescent="0.25">
      <c r="A23" t="s">
        <v>31</v>
      </c>
      <c r="B23" s="8">
        <f>$B$17+($B$13-$B$17)*B21/$B$16</f>
        <v>0.1128738191168065</v>
      </c>
      <c r="C23" s="8">
        <f>$B$17+($B$13-$B$17)*C21/$B$16</f>
        <v>0.10311006143716134</v>
      </c>
      <c r="D23" s="8">
        <f>$B$17+($B$13-$B$17)*D21/$B$16</f>
        <v>0.09334630375751617</v>
      </c>
      <c r="E23" s="8">
        <f>$B$17+($B$13-$B$17)*E21/$B$16</f>
        <v>0.083582546077871</v>
      </c>
      <c r="F23" s="8">
        <f>$B$17+($B$13-$B$17)*F21/$B$16</f>
        <v>0.07381878839822584</v>
      </c>
      <c r="G23" s="8">
        <f>$B$17+($B$13-$B$17)*G21/$B$16</f>
        <v>0.06405503071858068</v>
      </c>
      <c r="H23" s="8">
        <f>$B$17+($B$13-$B$17)*H21/$B$16</f>
        <v>0.05429127303893551</v>
      </c>
      <c r="I23" s="8">
        <f>$B$17+($B$13-$B$17)*I21/$B$16</f>
        <v>0.04452751535929034</v>
      </c>
      <c r="J23" s="8">
        <f>$B$17+($B$13-$B$17)*J21/$B$16</f>
        <v>0.034763757679645166</v>
      </c>
      <c r="K23" s="8">
        <f>$B$17+($B$13-$B$17)*K21/$B$16</f>
        <v>0.02500000000000001</v>
      </c>
    </row>
    <row r="24" spans="1:11" x14ac:dyDescent="0.25">
      <c r="A24" t="s">
        <v>32</v>
      </c>
      <c r="B24" s="9">
        <f>$B$14</f>
        <v>14793058000</v>
      </c>
      <c r="C24" s="9">
        <f>B24*(1+B23)</f>
        <v>16462806952.876425</v>
      </c>
      <c r="D24" s="9">
        <f>C24*(1+C23)</f>
        <v>18160287989.215637</v>
      </c>
      <c r="E24" s="9">
        <f>D24*(1+D23)</f>
        <v>19855483748.18093</v>
      </c>
      <c r="F24" s="9">
        <f>E24*(1+E23)</f>
        <v>21515055633.46168</v>
      </c>
      <c r="G24" s="9">
        <f>F24*(1+F23)</f>
        <v>23103270972.644245</v>
      </c>
      <c r="H24" s="9">
        <f>G24*(1+G23)</f>
        <v>24583151704.496662</v>
      </c>
      <c r="I24" s="9">
        <f>H24*(1+H23)</f>
        <v>25917802305.843063</v>
      </c>
      <c r="J24" s="9">
        <f>I24*(1+I23)</f>
        <v>27071857646.09554</v>
      </c>
      <c r="K24" s="9">
        <f>J24*(1+J23)</f>
        <v>28012977145.242252</v>
      </c>
    </row>
    <row r="25" spans="1:11" x14ac:dyDescent="0.25">
      <c r="A25" t="s">
        <v>33</v>
      </c>
      <c r="B25" s="9">
        <f>(B22-$B$9)*B24</f>
        <v>-474153355.4906362</v>
      </c>
      <c r="C25" s="9">
        <f>(C22-$B$9)*C24</f>
        <v>-527672855.57191306</v>
      </c>
      <c r="D25" s="9">
        <f>(D22-$B$9)*D24</f>
        <v>-582081236.1286553</v>
      </c>
      <c r="E25" s="9">
        <f>(E22-$B$9)*E24</f>
        <v>-636416368.0078712</v>
      </c>
      <c r="F25" s="9">
        <f>(F22-$B$9)*F24</f>
        <v>-689609668.4116004</v>
      </c>
      <c r="G25" s="9">
        <f>(G22-$B$9)*G24</f>
        <v>-740515818.601447</v>
      </c>
      <c r="H25" s="9">
        <f>(H22-$B$9)*H24</f>
        <v>-787949582.1095574</v>
      </c>
      <c r="I25" s="9">
        <f>(I22-$B$9)*I24</f>
        <v>-830728368.0127826</v>
      </c>
      <c r="J25" s="9">
        <f>(J22-$B$9)*J24</f>
        <v>-867718638.1788698</v>
      </c>
      <c r="K25" s="9">
        <f>(K22-$B$9)*K24</f>
        <v>-897883798.6506318</v>
      </c>
    </row>
    <row r="26" spans="1:11" x14ac:dyDescent="0.25">
      <c r="A26" t="s">
        <v>34</v>
      </c>
      <c r="B26" s="14">
        <f>1/(1+$B$9)^B21</f>
        <v>0.8660333076410118</v>
      </c>
      <c r="C26" s="14">
        <f>1/(1+$B$9)^C21</f>
        <v>0.7500136899436315</v>
      </c>
      <c r="D26" s="14">
        <f>1/(1+$B$9)^D21</f>
        <v>0.6495368366779235</v>
      </c>
      <c r="E26" s="14">
        <f>1/(1+$B$9)^E21</f>
        <v>0.5625205351028618</v>
      </c>
      <c r="F26" s="14">
        <f>1/(1+$B$9)^F21</f>
        <v>0.4871615196311234</v>
      </c>
      <c r="G26" s="14">
        <f>1/(1+$B$9)^G21</f>
        <v>0.4218981022015635</v>
      </c>
      <c r="H26" s="14">
        <f>1/(1+$B$9)^H21</f>
        <v>0.3653778089370857</v>
      </c>
      <c r="I26" s="14">
        <f>1/(1+$B$9)^I21</f>
        <v>0.31642935241241</v>
      </c>
      <c r="J26" s="14">
        <f>1/(1+$B$9)^J21</f>
        <v>0.27403835870442284</v>
      </c>
      <c r="K26" s="14">
        <f>1/(1+$B$9)^K21</f>
        <v>0.2373263462093054</v>
      </c>
    </row>
    <row r="27" spans="1:11" x14ac:dyDescent="0.25">
      <c r="A27" s="15" t="s">
        <v>35</v>
      </c>
      <c r="B27" s="16">
        <f>B25*B26</f>
        <v>-410632598.78464025</v>
      </c>
      <c r="C27" s="16">
        <f>C25*C26</f>
        <v>-395761865.4905835</v>
      </c>
      <c r="D27" s="16">
        <f>D25*D26</f>
        <v>-378083204.80458224</v>
      </c>
      <c r="E27" s="16">
        <f>E25*E26</f>
        <v>-357997275.8800075</v>
      </c>
      <c r="F27" s="16">
        <f>F25*F26</f>
        <v>-335951294.01571035</v>
      </c>
      <c r="G27" s="16">
        <f>G25*G26</f>
        <v>-312422218.5181877</v>
      </c>
      <c r="H27" s="16">
        <f>H25*H26</f>
        <v>-287899291.8640824</v>
      </c>
      <c r="I27" s="16">
        <f>I25*I26</f>
        <v>-262866839.52090302</v>
      </c>
      <c r="J27" s="16">
        <f>J25*J26</f>
        <v>-237788191.42377442</v>
      </c>
      <c r="K27" s="16">
        <f>K25*K26</f>
        <v>-213091481.2542861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14793058000</v>
      </c>
    </row>
    <row r="31" spans="1:2" x14ac:dyDescent="0.25">
      <c r="A31" t="s">
        <v>38</v>
      </c>
      <c r="B31" s="9">
        <f>SUM(B27:K27)</f>
        <v>-3192494261.5567575</v>
      </c>
    </row>
    <row r="32" spans="1:2" x14ac:dyDescent="0.25">
      <c r="A32" t="s">
        <v>39</v>
      </c>
      <c r="B32" s="9">
        <f>K24*(1+K23)</f>
        <v>28713301573.873306</v>
      </c>
    </row>
    <row r="33" spans="1:2" x14ac:dyDescent="0.25">
      <c r="A33" t="s">
        <v>40</v>
      </c>
      <c r="B33" s="9">
        <f>(B18-B9)*B32</f>
        <v>-920330893.6168975</v>
      </c>
    </row>
    <row r="34" spans="1:2" x14ac:dyDescent="0.25">
      <c r="A34" t="s">
        <v>41</v>
      </c>
      <c r="B34" s="9">
        <f>B33/(B9-B13)</f>
        <v>-7096390574.577049</v>
      </c>
    </row>
    <row r="35" spans="1:2" x14ac:dyDescent="0.25">
      <c r="A35" t="s">
        <v>42</v>
      </c>
      <c r="B35" s="9">
        <f>B34*K26</f>
        <v>-1684160446.3385246</v>
      </c>
    </row>
    <row r="36" spans="1:2" x14ac:dyDescent="0.25">
      <c r="A36" s="15" t="s">
        <v>43</v>
      </c>
      <c r="B36" s="16">
        <f>B30+B31+B35</f>
        <v>9916403292.10472</v>
      </c>
    </row>
    <row r="37" spans="1:2" x14ac:dyDescent="0.25">
      <c r="A37" s="15" t="s">
        <v>44</v>
      </c>
      <c r="B37" s="17">
        <f>B36/B15</f>
        <v>34.52678464847801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137.83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34.52678464847801</v>
      </c>
    </row>
    <row r="43" spans="1:2" x14ac:dyDescent="0.25">
      <c r="A43" s="15" t="s">
        <v>48</v>
      </c>
      <c r="B43" s="21">
        <f>B42/B40-1</f>
        <v>-0.749497318084031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1260327000</v>
      </c>
      <c r="C5" s="9">
        <v>2577755000</v>
      </c>
      <c r="D5" s="9">
        <v>94752000</v>
      </c>
      <c r="E5" s="9">
        <v>-2624949000</v>
      </c>
      <c r="F5" s="6" t="s">
        <v>57</v>
      </c>
    </row>
    <row r="6" spans="1:6" x14ac:dyDescent="0.25">
      <c r="A6" t="s">
        <v>37</v>
      </c>
      <c r="B6" s="9">
        <v>14793058000</v>
      </c>
      <c r="C6" s="9">
        <v>10276842000</v>
      </c>
      <c r="D6" s="9">
        <v>6281649000</v>
      </c>
      <c r="E6" s="9">
        <v>5454557000</v>
      </c>
      <c r="F6" s="6" t="s">
        <v>58</v>
      </c>
    </row>
    <row r="7" spans="1:6" x14ac:dyDescent="0.25">
      <c r="A7" t="s">
        <v>59</v>
      </c>
      <c r="B7" s="9"/>
      <c r="C7" s="9"/>
      <c r="D7" s="9"/>
      <c r="E7" s="9"/>
      <c r="F7" s="6" t="s">
        <v>60</v>
      </c>
    </row>
    <row r="8" spans="1:6" x14ac:dyDescent="0.25">
      <c r="A8" t="s">
        <v>14</v>
      </c>
      <c r="B8" s="10">
        <v>287209000</v>
      </c>
      <c r="C8" s="10">
        <v>273377000</v>
      </c>
      <c r="D8" s="10">
        <v>254391000</v>
      </c>
      <c r="E8" s="10">
        <v>222338000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0.12263757679645167</v>
      </c>
      <c r="C9" s="8">
        <f>IF(AND(ISNUMBER(C5),N(D6)&gt;0),C5/D6,"")</f>
        <v>0.41036278849709684</v>
      </c>
      <c r="D9" s="8">
        <f>IF(AND(ISNUMBER(D5),N(E6)&gt;0),D5/E6,"")</f>
        <v>0.017371163231037826</v>
      </c>
      <c r="E9" s="8" t="str">
        <f>""</f>
        <v/>
      </c>
    </row>
    <row r="10" spans="1:5" x14ac:dyDescent="0.25">
      <c r="A10" t="s">
        <v>63</v>
      </c>
      <c r="B10" s="8" t="str">
        <f>IF(AND(ISNUMBER(B9),N(B5)&gt;0,ISNUMBER(B7)),B7/B5,"")</f>
        <v/>
      </c>
      <c r="C10" s="8" t="str">
        <f>IF(AND(ISNUMBER(C9),N(C5)&gt;0,ISNUMBER(C7)),C7/C5,"")</f>
        <v/>
      </c>
      <c r="D10" s="8" t="str">
        <f>IF(AND(ISNUMBER(D9),N(D5)&gt;0,ISNUMBER(D7)),D7/D5,"")</f>
        <v/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5" ht="22" customHeight="1" spans="1:6" x14ac:dyDescent="0.25">
      <c r="A15" s="24" t="s">
        <v>66</v>
      </c>
      <c r="B15" s="24"/>
      <c r="C15" s="24"/>
      <c r="D15" s="24"/>
      <c r="E15" s="24"/>
      <c r="F15" s="24"/>
    </row>
    <row r="17" spans="1:1" x14ac:dyDescent="0.25">
      <c r="A17" s="25" t="s">
        <v>67</v>
      </c>
    </row>
  </sheetData>
  <mergeCells count="2">
    <mergeCell ref="A14:F14"/>
    <mergeCell ref="A15:F1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