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<sst xmlns="http://schemas.openxmlformats.org/spreadsheetml/2006/main" count="112" uniqueCount="100">
  <si>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Coles Group Limited (COL.AX)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</si>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</sst>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0.040320629918195516</v>
      </c>
    </row>
    <row r="7" spans="1:2" x14ac:dyDescent="0.25">
      <c r="A7" t="s">
        <v>5</v>
      </c>
      <c r="B7" s="6">
        <v>0.040631556718883036</v>
      </c>
    </row>
    <row r="8" spans="1:2" x14ac:dyDescent="0.25">
      <c r="A8" t="s">
        <v>6</v>
      </c>
      <c r="B8" s="6">
        <v>0.2969231241257801</v>
      </c>
    </row>
    <row r="9" spans="1:2" x14ac:dyDescent="0.25">
      <c r="A9" t="s">
        <v>7</v>
      </c>
      <c r="B9" s="6">
        <v>0.03563150186052632</v>
      </c>
    </row>
    <row r="10" spans="1:2" x14ac:dyDescent="0.25">
      <c r="A10" t="s">
        <v>8</v>
      </c>
      <c r="B10" s="6">
        <v>0.0354971408407924</v>
      </c>
    </row>
    <row r="11" spans="1:2" x14ac:dyDescent="0.25">
      <c r="A11" t="s">
        <v>9</v>
      </c>
      <c r="B11" s="6">
        <v>0.004071661237785016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11.659681746462605</v>
      </c>
    </row>
    <row r="14" spans="1:3" x14ac:dyDescent="0.25">
      <c r="A14" t="s">
        <v>12</v>
      </c>
      <c r="B14" s="6">
        <v>0.23435859093513758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0.5162599999999999</v>
      </c>
      <c r="C19" s="8" t="s">
        <v>19</v>
      </c>
    </row>
    <row r="20" spans="1:2" x14ac:dyDescent="0.25">
      <c r="A20" t="s">
        <v>20</v>
      </c>
      <c r="B20" s="10">
        <f>B17+B19*B18</f>
        <v>0.08445559999999999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31053477888</v>
      </c>
    </row>
    <row r="23" spans="1:2" x14ac:dyDescent="0.25">
      <c r="A23" t="s">
        <v>24</v>
      </c>
      <c r="B23" s="11">
        <v>9892000000</v>
      </c>
    </row>
    <row r="24" spans="1:2" x14ac:dyDescent="0.25">
      <c r="A24" t="s">
        <v>25</v>
      </c>
      <c r="B24" s="10">
        <f>B22/(B22+B23)</f>
        <v>0.7584104396813237</v>
      </c>
    </row>
    <row r="25" spans="1:2" x14ac:dyDescent="0.25">
      <c r="A25" t="s">
        <v>26</v>
      </c>
      <c r="B25" s="10">
        <f>1-B24</f>
        <v>0.2415895603186763</v>
      </c>
    </row>
    <row r="26" spans="1:2" x14ac:dyDescent="0.25">
      <c r="A26" t="s">
        <v>27</v>
      </c>
      <c r="B26" s="12">
        <f>B24*B20+B25*B21*(1-B8)</f>
        <v>0.0731359093911122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45580000000</v>
      </c>
      <c r="C29" s="8" t="s">
        <v>30</v>
      </c>
    </row>
    <row r="30" spans="1:2" x14ac:dyDescent="0.25">
      <c r="A30" t="s">
        <v>31</v>
      </c>
      <c r="B30" s="11">
        <v>9324000000</v>
      </c>
    </row>
    <row r="31" spans="1:2" x14ac:dyDescent="0.25">
      <c r="A31" t="s">
        <v>32</v>
      </c>
      <c r="B31" s="13">
        <v>1343100000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0.040320629918195516</v>
      </c>
      <c r="C5" s="10">
        <f>Assumptions!B6</f>
        <v>0.040320629918195516</v>
      </c>
      <c r="D5" s="10">
        <f>Assumptions!B6</f>
        <v>0.040320629918195516</v>
      </c>
      <c r="E5" s="10">
        <f>Assumptions!B6</f>
        <v>0.040320629918195516</v>
      </c>
      <c r="F5" s="10">
        <f>Assumptions!B6</f>
        <v>0.040320629918195516</v>
      </c>
    </row>
    <row r="6" spans="1:6" x14ac:dyDescent="0.25">
      <c r="A6" t="s">
        <v>43</v>
      </c>
      <c r="B6" s="18">
        <f>Assumptions!B29*(1+B5)</f>
        <v>47417814311.67135</v>
      </c>
      <c r="C6" s="18">
        <f>B6*(1+C5)</f>
        <v>49329730454.061966</v>
      </c>
      <c r="D6" s="18">
        <f>C6*(1+D5)</f>
        <v>51318736259.664536</v>
      </c>
      <c r="E6" s="18">
        <f>D6*(1+E5)</f>
        <v>53387940032.25995</v>
      </c>
      <c r="F6" s="18">
        <f>E6*(1+F5)</f>
        <v>55540575404.395515</v>
      </c>
    </row>
    <row r="7" spans="1:6" x14ac:dyDescent="0.25">
      <c r="A7" t="s">
        <v>5</v>
      </c>
      <c r="B7" s="10">
        <f>Assumptions!B7</f>
        <v>0.040631556718883036</v>
      </c>
      <c r="C7" s="10">
        <f>Assumptions!B7</f>
        <v>0.040631556718883036</v>
      </c>
      <c r="D7" s="10">
        <f>Assumptions!B7</f>
        <v>0.040631556718883036</v>
      </c>
      <c r="E7" s="10">
        <f>Assumptions!B7</f>
        <v>0.040631556718883036</v>
      </c>
      <c r="F7" s="10">
        <f>Assumptions!B7</f>
        <v>0.040631556718883036</v>
      </c>
    </row>
    <row r="8" spans="1:6" x14ac:dyDescent="0.25">
      <c r="A8" t="s">
        <v>44</v>
      </c>
      <c r="B8" s="18">
        <f>B6*B7</f>
        <v>1926659611.690138</v>
      </c>
      <c r="C8" s="18">
        <f>C6*C7</f>
        <v>2004343740.8714306</v>
      </c>
      <c r="D8" s="18">
        <f>D6*D7</f>
        <v>2085160143.075959</v>
      </c>
      <c r="E8" s="18">
        <f>E6*E7</f>
        <v>2169235113.5250964</v>
      </c>
      <c r="F8" s="18">
        <f>F6*F7</f>
        <v>2256700039.7430964</v>
      </c>
    </row>
    <row r="9" spans="1:6" x14ac:dyDescent="0.25">
      <c r="A9" t="s">
        <v>45</v>
      </c>
      <c r="B9" s="18">
        <f>B8*(1-Assumptions!B8)</f>
        <v>1354589820.6601398</v>
      </c>
      <c r="C9" s="18">
        <f>C8*(1-Assumptions!B8)</f>
        <v>1409207735.5099323</v>
      </c>
      <c r="D9" s="18">
        <f>D8*(1-Assumptions!B8)</f>
        <v>1466027879.0912864</v>
      </c>
      <c r="E9" s="18">
        <f>E8*(1-Assumptions!B8)</f>
        <v>1525139046.6538835</v>
      </c>
      <c r="F9" s="18">
        <f>F8*(1-Assumptions!B8)</f>
        <v>1586633613.727804</v>
      </c>
    </row>
    <row r="10" spans="1:6" x14ac:dyDescent="0.25">
      <c r="A10" t="s">
        <v>46</v>
      </c>
      <c r="B10" s="18">
        <f>B6*Assumptions!B9</f>
        <v>1689567938.8684092</v>
      </c>
      <c r="C10" s="18">
        <f>C6*Assumptions!B9</f>
        <v>1757692382.4531708</v>
      </c>
      <c r="D10" s="18">
        <f>D6*Assumptions!B9</f>
        <v>1828563646.5160964</v>
      </c>
      <c r="E10" s="18">
        <f>E6*Assumptions!B9</f>
        <v>1902292484.589138</v>
      </c>
      <c r="F10" s="18">
        <f>F6*Assumptions!B9</f>
        <v>1978994115.8564212</v>
      </c>
    </row>
    <row r="11" spans="1:6" x14ac:dyDescent="0.25">
      <c r="A11" t="s">
        <v>47</v>
      </c>
      <c r="B11" s="18">
        <f>-B6*Assumptions!B10</f>
        <v>-1683196832.9839392</v>
      </c>
      <c r="C11" s="18">
        <f>-C6*Assumptions!B10</f>
        <v>-1751064389.5661635</v>
      </c>
      <c r="D11" s="18">
        <f>-D6*Assumptions!B10</f>
        <v>-1821668408.7807918</v>
      </c>
      <c r="E11" s="18">
        <f>-E6*Assumptions!B10</f>
        <v>-1895119226.52491</v>
      </c>
      <c r="F11" s="18">
        <f>-F6*Assumptions!B10</f>
        <v>-1971531627.5084777</v>
      </c>
    </row>
    <row r="12" spans="1:6" x14ac:dyDescent="0.25">
      <c r="A12" t="s">
        <v>48</v>
      </c>
      <c r="B12" s="18">
        <f>-(B6-Assumptions!B29)*Assumptions!B11</f>
        <v>-7482957.2950787805</v>
      </c>
      <c r="C12" s="18">
        <f>-(C6-B6)*Assumptions!B11</f>
        <v>-7784674.846867335</v>
      </c>
      <c r="D12" s="18">
        <f>-(D6-C6)*Assumptions!B11</f>
        <v>-8098557.840401342</v>
      </c>
      <c r="E12" s="18">
        <f>-(E6-D6)*Assumptions!B11</f>
        <v>-8425096.793955266</v>
      </c>
      <c r="F12" s="18">
        <f>-(F6-E6)*Assumptions!B11</f>
        <v>-8764802.00380931</v>
      </c>
    </row>
    <row r="13" spans="1:6" x14ac:dyDescent="0.25">
      <c r="A13" s="19" t="s">
        <v>49</v>
      </c>
      <c r="B13" s="20">
        <f>B9+B10+B11+B12</f>
        <v>1353477969.2495313</v>
      </c>
      <c r="C13" s="20">
        <f>C9+C10+C11+C12</f>
        <v>1408051053.5500724</v>
      </c>
      <c r="D13" s="20">
        <f>D9+D10+D11+D12</f>
        <v>1464824558.9861896</v>
      </c>
      <c r="E13" s="20">
        <f>E9+E10+E11+E12</f>
        <v>1523887207.9241562</v>
      </c>
      <c r="F13" s="20">
        <f>F9+F10+F11+F12</f>
        <v>1585331300.0719383</v>
      </c>
    </row>
    <row r="14" spans="1:6" x14ac:dyDescent="0.25">
      <c r="A14" t="s">
        <v>50</v>
      </c>
      <c r="B14" s="21">
        <f>1/(1+Assumptions!$B$26)^(1-0.5*Assumptions!$B$32)</f>
        <v>0.9653229607227036</v>
      </c>
      <c r="C14" s="21">
        <f>1/(1+Assumptions!$B$26)^(2-0.5*Assumptions!$B$32)</f>
        <v>0.8995346742896895</v>
      </c>
      <c r="D14" s="21">
        <f>1/(1+Assumptions!$B$26)^(3-0.5*Assumptions!$B$32)</f>
        <v>0.8382299636213623</v>
      </c>
      <c r="E14" s="21">
        <f>1/(1+Assumptions!$B$26)^(4-0.5*Assumptions!$B$32)</f>
        <v>0.7811032659385767</v>
      </c>
      <c r="F14" s="21">
        <f>1/(1+Assumptions!$B$26)^(5-0.5*Assumptions!$B$32)</f>
        <v>0.7278698430488341</v>
      </c>
    </row>
    <row r="15" spans="1:6" x14ac:dyDescent="0.25">
      <c r="A15" s="19" t="s">
        <v>51</v>
      </c>
      <c r="B15" s="20">
        <f>B13*B14</f>
        <v>1306543360.54891</v>
      </c>
      <c r="C15" s="20">
        <f>C13*C14</f>
        <v>1266590745.8384185</v>
      </c>
      <c r="D15" s="20">
        <f>D13*D14</f>
        <v>1227859836.7906718</v>
      </c>
      <c r="E15" s="20">
        <f>E13*E14</f>
        <v>1190313275.0315773</v>
      </c>
      <c r="F15" s="20">
        <f>F13*F14</f>
        <v>1153914844.5637658</v>
      </c>
    </row>
    <row r="17" spans="1:2" x14ac:dyDescent="0.25">
      <c r="A17" s="22" t="s">
        <v>52</v>
      </c>
      <c r="B17" s="23">
        <f>SUM(B15:F15)</f>
        <v>6145222062.773343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1585331300.0719383</v>
      </c>
    </row>
    <row r="5" spans="1:2" x14ac:dyDescent="0.25">
      <c r="A5" t="s">
        <v>56</v>
      </c>
      <c r="B5" s="18">
        <f>IF(Assumptions!$B$33=0,B4,B4-Forecast!F11-Forecast!F10-Forecast!F12)</f>
        <v>1586633613.727804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0.10667413513729114</v>
      </c>
    </row>
    <row r="7" spans="1:2" x14ac:dyDescent="0.25">
      <c r="A7" t="s">
        <v>58</v>
      </c>
      <c r="B7" s="18">
        <f>-MAX(Forecast!F9,0)*B6</f>
        <v>-169252768.52416834</v>
      </c>
    </row>
    <row r="8" spans="1:2" x14ac:dyDescent="0.25">
      <c r="A8" t="s">
        <v>59</v>
      </c>
      <c r="B8" s="18">
        <f>IF(OR(Assumptions!$B$33=0,Assumptions!B12&lt;=0),B5,MAX(B5+B7,0))</f>
        <v>1417380845.2036357</v>
      </c>
    </row>
    <row r="9" spans="1:2" x14ac:dyDescent="0.25">
      <c r="A9" t="s">
        <v>60</v>
      </c>
      <c r="B9" s="18">
        <f>B8*(1+Assumptions!B12)/(Assumptions!B26-Assumptions!B12)</f>
        <v>30181529438.435703</v>
      </c>
    </row>
    <row r="10" spans="1:2" x14ac:dyDescent="0.25">
      <c r="A10" t="s">
        <v>61</v>
      </c>
      <c r="B10" s="18">
        <f>B9/(1+Assumptions!B26)^(5-0.5*Assumptions!B32)</f>
        <v>21968225095.32796</v>
      </c>
    </row>
    <row r="11" spans="1:2" x14ac:dyDescent="0.25">
      <c r="A11" t="s">
        <v>62</v>
      </c>
      <c r="B11" s="18">
        <f>Forecast!B17+B10</f>
        <v>28113447158.101303</v>
      </c>
    </row>
    <row r="12" spans="1:2" x14ac:dyDescent="0.25">
      <c r="A12" t="s">
        <v>63</v>
      </c>
      <c r="B12" s="18">
        <f>-Assumptions!B30</f>
        <v>-9324000000</v>
      </c>
    </row>
    <row r="13" spans="1:2" x14ac:dyDescent="0.25">
      <c r="A13" t="s">
        <v>64</v>
      </c>
      <c r="B13" s="18">
        <f>B11+B12</f>
        <v>18789447158.101303</v>
      </c>
    </row>
    <row r="14" spans="1:2" x14ac:dyDescent="0.25">
      <c r="A14" s="19" t="s">
        <v>65</v>
      </c>
      <c r="B14" s="24">
        <f>B13/Assumptions!B31</f>
        <v>13.989611464597798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4235694155.599518</v>
      </c>
    </row>
    <row r="18" spans="1:2" x14ac:dyDescent="0.25">
      <c r="A18" t="s">
        <v>60</v>
      </c>
      <c r="B18" s="18">
        <f>B17*Assumptions!B13</f>
        <v>49386845829.64204</v>
      </c>
    </row>
    <row r="19" spans="1:2" x14ac:dyDescent="0.25">
      <c r="A19" t="s">
        <v>61</v>
      </c>
      <c r="B19" s="18">
        <f>B18/(1+Assumptions!B26)^(5-0.5*Assumptions!B32)</f>
        <v>35947195722.69852</v>
      </c>
    </row>
    <row r="20" spans="1:2" x14ac:dyDescent="0.25">
      <c r="A20" t="s">
        <v>62</v>
      </c>
      <c r="B20" s="18">
        <f>Forecast!B17+B19</f>
        <v>42092417785.47186</v>
      </c>
    </row>
    <row r="21" spans="1:2" x14ac:dyDescent="0.25">
      <c r="A21" t="s">
        <v>63</v>
      </c>
      <c r="B21" s="18">
        <f>-Assumptions!B30</f>
        <v>-9324000000</v>
      </c>
    </row>
    <row r="22" spans="1:2" x14ac:dyDescent="0.25">
      <c r="A22" t="s">
        <v>64</v>
      </c>
      <c r="B22" s="18">
        <f>B20+B21</f>
        <v>32768417785.471863</v>
      </c>
    </row>
    <row r="23" spans="1:2" x14ac:dyDescent="0.25">
      <c r="A23" s="19" t="s">
        <v>65</v>
      </c>
      <c r="B23" s="25">
        <f>B22/Assumptions!B31</f>
        <v>24.39760091242042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13.989611464597798</v>
      </c>
    </row>
    <row r="29" spans="1:2" x14ac:dyDescent="0.25">
      <c r="A29" s="19" t="s">
        <v>73</v>
      </c>
      <c r="B29" s="12">
        <f>B28/B26-1</f>
        <v>-0.39491299893608145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0.053136</v>
      </c>
      <c r="B5" s="31">
        <v>21.162397219613464</v>
      </c>
      <c r="C5" s="31">
        <v>24.197720975047453</v>
      </c>
      <c r="D5" s="31">
        <v>28.304752999395415</v>
      </c>
      <c r="E5" s="31">
        <v>34.17832489854037</v>
      </c>
      <c r="F5" s="31">
        <v>43.27951398401491</v>
      </c>
    </row>
    <row r="6" spans="1:6" x14ac:dyDescent="0.25">
      <c r="A6" s="30">
        <v>0.063136</v>
      </c>
      <c r="B6" s="31">
        <v>15.43990949008345</v>
      </c>
      <c r="C6" s="31">
        <v>17.13648644429564</v>
      </c>
      <c r="D6" s="31">
        <v>19.272921503288277</v>
      </c>
      <c r="E6" s="31">
        <v>22.048329574464393</v>
      </c>
      <c r="F6" s="31">
        <v>25.803363031393502</v>
      </c>
    </row>
    <row r="7" spans="1:6" x14ac:dyDescent="0.25">
      <c r="A7" s="30">
        <v>0.073136</v>
      </c>
      <c r="B7" s="31">
        <v>11.684552715409593</v>
      </c>
      <c r="C7" s="31">
        <v>12.730340209727718</v>
      </c>
      <c r="D7" s="32">
        <v>13.989573519750023</v>
      </c>
      <c r="E7" s="31">
        <v>15.536475736063554</v>
      </c>
      <c r="F7" s="31">
        <v>17.484195421558194</v>
      </c>
    </row>
    <row r="8" spans="1:6" x14ac:dyDescent="0.25">
      <c r="A8" s="30">
        <v>0.083136</v>
      </c>
      <c r="B8" s="31">
        <v>9.030281851301627</v>
      </c>
      <c r="C8" s="31">
        <v>9.717807425098806</v>
      </c>
      <c r="D8" s="31">
        <v>10.520568100823908</v>
      </c>
      <c r="E8" s="31">
        <v>11.471094112761007</v>
      </c>
      <c r="F8" s="31">
        <v>12.615431664233604</v>
      </c>
    </row>
    <row r="9" spans="1:6" x14ac:dyDescent="0.25">
      <c r="A9" s="30">
        <v>0.093136</v>
      </c>
      <c r="B9" s="31">
        <v>7.054399825871692</v>
      </c>
      <c r="C9" s="31">
        <v>7.527339240974578</v>
      </c>
      <c r="D9" s="31">
        <v>8.067212058228419</v>
      </c>
      <c r="E9" s="31">
        <v>8.689920473405275</v>
      </c>
      <c r="F9" s="31">
        <v>9.416837370240604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45580000000</v>
      </c>
      <c r="C5" s="18">
        <v>44352000000</v>
      </c>
      <c r="D5" s="18">
        <v>43571000000</v>
      </c>
      <c r="E5" s="18">
        <v>40483000000</v>
      </c>
      <c r="F5" s="8" t="s">
        <v>84</v>
      </c>
    </row>
    <row r="6" spans="1:6" x14ac:dyDescent="0.25">
      <c r="A6" t="s">
        <v>44</v>
      </c>
      <c r="B6" s="18">
        <v>1811000000</v>
      </c>
      <c r="C6" s="18">
        <v>1819000000</v>
      </c>
      <c r="D6" s="18">
        <v>1852000000</v>
      </c>
      <c r="E6" s="18">
        <v>1590000000</v>
      </c>
      <c r="F6" s="8" t="s">
        <v>85</v>
      </c>
    </row>
    <row r="7" spans="1:6" x14ac:dyDescent="0.25">
      <c r="A7" t="s">
        <v>86</v>
      </c>
      <c r="B7" s="18">
        <v>1652000000</v>
      </c>
      <c r="C7" s="18">
        <v>1569000000</v>
      </c>
      <c r="D7" s="18">
        <v>1517000000</v>
      </c>
      <c r="E7" s="18">
        <v>1461000000</v>
      </c>
      <c r="F7" s="8" t="s">
        <v>87</v>
      </c>
    </row>
    <row r="8" spans="1:6" x14ac:dyDescent="0.25">
      <c r="A8" t="s">
        <v>88</v>
      </c>
      <c r="B8" s="18">
        <v>1491000000</v>
      </c>
      <c r="C8" s="18">
        <v>1487000000</v>
      </c>
      <c r="D8" s="18">
        <v>1671000000</v>
      </c>
      <c r="E8" s="18">
        <v>1514000000</v>
      </c>
      <c r="F8" s="8" t="s">
        <v>89</v>
      </c>
    </row>
    <row r="9" spans="1:6" x14ac:dyDescent="0.25">
      <c r="A9" t="s">
        <v>90</v>
      </c>
      <c r="B9" s="18">
        <v>5000000</v>
      </c>
      <c r="C9" s="18">
        <v>-148000000</v>
      </c>
      <c r="D9" s="18">
        <v>161000000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9892000000</v>
      </c>
      <c r="C10" s="18">
        <v>10327000000</v>
      </c>
      <c r="D10" s="18">
        <v>10069000000</v>
      </c>
      <c r="E10" s="18">
        <v>8967000000</v>
      </c>
      <c r="F10" s="8" t="s">
        <v>93</v>
      </c>
    </row>
    <row r="11" spans="1:6" x14ac:dyDescent="0.25">
      <c r="A11" t="s">
        <v>94</v>
      </c>
      <c r="B11" s="18">
        <v>568000000</v>
      </c>
      <c r="C11" s="18">
        <v>705000000</v>
      </c>
      <c r="D11" s="18">
        <v>675000000</v>
      </c>
      <c r="E11" s="18">
        <v>597000000</v>
      </c>
      <c r="F11" s="8" t="s">
        <v>95</v>
      </c>
    </row>
    <row r="12" spans="1:6" x14ac:dyDescent="0.25">
      <c r="A12" t="s">
        <v>32</v>
      </c>
      <c r="B12" s="34">
        <v>1343100000</v>
      </c>
      <c r="C12" s="34">
        <v>1340372671</v>
      </c>
      <c r="D12" s="34">
        <v>1337960747</v>
      </c>
      <c r="E12" s="34">
        <v>1337393423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