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<sst xmlns="http://schemas.openxmlformats.org/spreadsheetml/2006/main" count="113" uniqueCount="101">
  <si>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Colonial SFL, Socimi S. A. (COL.MC)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</si>
  <si>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</si>
  <si>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</si>
  <si>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</si>
  <si>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</si>
  <si>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</si>
  <si>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</si>
  <si>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</si>
  <si>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</si>
  <si>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</si>
  <si>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</si>
  <si>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</si>
  <si>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</si>
  <si>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</si>
  <si>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</si>
  <si>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</si>
  <si>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</si>
  <si>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</si>
  <si>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</si>
  <si>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</si>
  <si>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</si>
  <si>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</si>
  <si>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</si>
  <si>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</si>
  <si>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</si>
  <si>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</si>
  <si>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</si>
  <si>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</si>
  <si>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</si>
  <si>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</si>
  <si>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</si>
  <si>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</si>
  <si>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</si>
  <si>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</si>
  <si>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</si>
  <si>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</si>
  <si>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</si>
  <si>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</si>
  <si>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</si>
  <si>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</si>
  <si>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</si>
  <si>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</si>
  <si>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</si>
  <si>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</si>
  <si>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</si>
  <si>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</si>
  <si>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</si>
  <si>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</si>
  <si>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</si>
  <si>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</si>
  <si>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</si>
  <si>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</si>
  <si>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</si>
  <si>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</si>
  <si>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</si>
  <si>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</si>
  <si>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</si>
  <si>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</si>
  <si>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</si>
  <si>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</si>
  <si>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</si>
  <si>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</si>
  <si>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</si>
  <si>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</si>
  <si>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</si>
  <si>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</si>
  <si>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</si>
  <si>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</si>
  <si>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</si>
  <si>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</si>
  <si>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</si>
  <si>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</si>
  <si>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</si>
  <si>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</si>
  <si>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</si>
  <si>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</si>
  <si>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</si>
  <si>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</si>
  <si>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</si>
  <si>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</si>
  <si>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</si>
  <si>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</si>
  <si>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</si>
  <si>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</si>
  <si>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</si>
  <si>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</si>
  <si>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</si>
  <si>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</si>
  <si>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</si>
  <si>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</si>
  <si>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</si>
  <si>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</si>
  <si>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</si>
  <si>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</si>
  <si>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</si>
  <si>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</si>
  <si>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</si>
  <si>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</si>
  <si>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</si>
  <si>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Current EV/EBITDA of 25.1x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</si>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</sst>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0.041391190435910996</v>
      </c>
    </row>
    <row r="7" spans="1:2" x14ac:dyDescent="0.25">
      <c r="A7" t="s">
        <v>5</v>
      </c>
      <c r="B7" s="6">
        <v>0.7363028149125678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0.01936049898013728</v>
      </c>
    </row>
    <row r="10" spans="1:2" x14ac:dyDescent="0.25">
      <c r="A10" t="s">
        <v>8</v>
      </c>
      <c r="B10" s="6">
        <v>0.015708171015218843</v>
      </c>
    </row>
    <row r="11" spans="1:2" x14ac:dyDescent="0.25">
      <c r="A11" t="s">
        <v>9</v>
      </c>
      <c r="B11" s="6">
        <v>-0.1894545377185891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0.06419353507399646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1.1514199999999999</v>
      </c>
      <c r="C19" s="8" t="s">
        <v>19</v>
      </c>
    </row>
    <row r="20" spans="1:2" x14ac:dyDescent="0.25">
      <c r="A20" t="s">
        <v>20</v>
      </c>
      <c r="B20" s="10">
        <f>B17+B19*B18</f>
        <v>0.11684230000000001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3183674880</v>
      </c>
    </row>
    <row r="23" spans="1:2" x14ac:dyDescent="0.25">
      <c r="A23" t="s">
        <v>24</v>
      </c>
      <c r="B23" s="11">
        <v>5126902000</v>
      </c>
    </row>
    <row r="24" spans="1:2" x14ac:dyDescent="0.25">
      <c r="A24" t="s">
        <v>25</v>
      </c>
      <c r="B24" s="10">
        <f>B22/(B22+B23)</f>
        <v>0.38308711007315777</v>
      </c>
    </row>
    <row r="25" spans="1:2" x14ac:dyDescent="0.25">
      <c r="A25" t="s">
        <v>26</v>
      </c>
      <c r="B25" s="10">
        <f>1-B24</f>
        <v>0.6169128899268422</v>
      </c>
    </row>
    <row r="26" spans="1:2" x14ac:dyDescent="0.25">
      <c r="A26" t="s">
        <v>27</v>
      </c>
      <c r="B26" s="12">
        <f>B24*B20+B25*B21*(1-B8)</f>
        <v>0.06419353507399646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408400000</v>
      </c>
      <c r="C29" s="8" t="s">
        <v>30</v>
      </c>
    </row>
    <row r="30" spans="1:2" x14ac:dyDescent="0.25">
      <c r="A30" t="s">
        <v>31</v>
      </c>
      <c r="B30" s="11">
        <v>4973977000</v>
      </c>
    </row>
    <row r="31" spans="1:2" x14ac:dyDescent="0.25">
      <c r="A31" t="s">
        <v>32</v>
      </c>
      <c r="B31" s="13">
        <v>615452000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0.041391190435910996</v>
      </c>
      <c r="C5" s="10">
        <f>Assumptions!B6</f>
        <v>0.041391190435910996</v>
      </c>
      <c r="D5" s="10">
        <f>Assumptions!B6</f>
        <v>0.041391190435910996</v>
      </c>
      <c r="E5" s="10">
        <f>Assumptions!B6</f>
        <v>0.041391190435910996</v>
      </c>
      <c r="F5" s="10">
        <f>Assumptions!B6</f>
        <v>0.041391190435910996</v>
      </c>
    </row>
    <row r="6" spans="1:6" x14ac:dyDescent="0.25">
      <c r="A6" t="s">
        <v>43</v>
      </c>
      <c r="B6" s="18">
        <f>Assumptions!B29*(1+B5)</f>
        <v>425304162.1740261</v>
      </c>
      <c r="C6" s="18">
        <f>B6*(1+C5)</f>
        <v>442908007.7437568</v>
      </c>
      <c r="D6" s="18">
        <f>C6*(1+D5)</f>
        <v>461240497.43786854</v>
      </c>
      <c r="E6" s="18">
        <f>D6*(1+E5)</f>
        <v>480331790.70407367</v>
      </c>
      <c r="F6" s="18">
        <f>E6*(1+F5)</f>
        <v>500213295.32552814</v>
      </c>
    </row>
    <row r="7" spans="1:6" x14ac:dyDescent="0.25">
      <c r="A7" t="s">
        <v>5</v>
      </c>
      <c r="B7" s="10">
        <f>Assumptions!B7</f>
        <v>0.7363028149125678</v>
      </c>
      <c r="C7" s="10">
        <f>Assumptions!B7</f>
        <v>0.7363028149125678</v>
      </c>
      <c r="D7" s="10">
        <f>Assumptions!B7</f>
        <v>0.7363028149125678</v>
      </c>
      <c r="E7" s="10">
        <f>Assumptions!B7</f>
        <v>0.7363028149125678</v>
      </c>
      <c r="F7" s="10">
        <f>Assumptions!B7</f>
        <v>0.7363028149125678</v>
      </c>
    </row>
    <row r="8" spans="1:6" x14ac:dyDescent="0.25">
      <c r="A8" t="s">
        <v>44</v>
      </c>
      <c r="B8" s="18">
        <f>B6*B7</f>
        <v>313152651.8027666</v>
      </c>
      <c r="C8" s="18">
        <f>C6*C7</f>
        <v>326114412.84904546</v>
      </c>
      <c r="D8" s="18">
        <f>D6*D7</f>
        <v>339612676.6151756</v>
      </c>
      <c r="E8" s="18">
        <f>E6*E7</f>
        <v>353669649.5874038</v>
      </c>
      <c r="F8" s="18">
        <f>F6*F7</f>
        <v>368308457.40487796</v>
      </c>
    </row>
    <row r="9" spans="1:6" x14ac:dyDescent="0.25">
      <c r="A9" t="s">
        <v>45</v>
      </c>
      <c r="B9" s="18">
        <f>B8*(1-Assumptions!B8)</f>
        <v>234864488.85207498</v>
      </c>
      <c r="C9" s="18">
        <f>C8*(1-Assumptions!B8)</f>
        <v>244585809.63678408</v>
      </c>
      <c r="D9" s="18">
        <f>D8*(1-Assumptions!B8)</f>
        <v>254709507.4613817</v>
      </c>
      <c r="E9" s="18">
        <f>E8*(1-Assumptions!B8)</f>
        <v>265252237.19055283</v>
      </c>
      <c r="F9" s="18">
        <f>F8*(1-Assumptions!B8)</f>
        <v>276231343.0536585</v>
      </c>
    </row>
    <row r="10" spans="1:6" x14ac:dyDescent="0.25">
      <c r="A10" t="s">
        <v>46</v>
      </c>
      <c r="B10" s="18">
        <f>B6*Assumptions!B9</f>
        <v>8234100.798018373</v>
      </c>
      <c r="C10" s="18">
        <f>C6*Assumptions!B9</f>
        <v>8574920.032217639</v>
      </c>
      <c r="D10" s="18">
        <f>D6*Assumptions!B9</f>
        <v>8929846.180243867</v>
      </c>
      <c r="E10" s="18">
        <f>E6*Assumptions!B9</f>
        <v>9299463.144053731</v>
      </c>
      <c r="F10" s="18">
        <f>F6*Assumptions!B9</f>
        <v>9684378.994000996</v>
      </c>
    </row>
    <row r="11" spans="1:6" x14ac:dyDescent="0.25">
      <c r="A11" t="s">
        <v>47</v>
      </c>
      <c r="B11" s="18">
        <f>-B6*Assumptions!B10</f>
        <v>-6680750.512913971</v>
      </c>
      <c r="C11" s="18">
        <f>-C6*Assumptions!B10</f>
        <v>-6957274.729648803</v>
      </c>
      <c r="D11" s="18">
        <f>-D6*Assumptions!B10</f>
        <v>-7245244.612898648</v>
      </c>
      <c r="E11" s="18">
        <f>-E6*Assumptions!B10</f>
        <v>-7545133.912425894</v>
      </c>
      <c r="F11" s="18">
        <f>-F6*Assumptions!B10</f>
        <v>-7857435.987059564</v>
      </c>
    </row>
    <row r="12" spans="1:6" x14ac:dyDescent="0.25">
      <c r="A12" t="s">
        <v>48</v>
      </c>
      <c r="B12" s="18">
        <f>-(B6-Assumptions!B29)*Assumptions!B11</f>
        <v>3202570.2302001696</v>
      </c>
      <c r="C12" s="18">
        <f>-(C6-B6)*Assumptions!B11</f>
        <v>3335128.4244827623</v>
      </c>
      <c r="D12" s="18">
        <f>-(D6-C6)*Assumptions!B11</f>
        <v>3473173.3602287434</v>
      </c>
      <c r="E12" s="18">
        <f>-(E6-D6)*Assumptions!B11</f>
        <v>3616932.1401989064</v>
      </c>
      <c r="F12" s="18">
        <f>-(F6-E6)*Assumptions!B11</f>
        <v>3766641.267207651</v>
      </c>
    </row>
    <row r="13" spans="1:6" x14ac:dyDescent="0.25">
      <c r="A13" s="19" t="s">
        <v>49</v>
      </c>
      <c r="B13" s="20">
        <f>B9+B10+B11+B12</f>
        <v>239620409.36737955</v>
      </c>
      <c r="C13" s="20">
        <f>C9+C10+C11+C12</f>
        <v>249538583.3638357</v>
      </c>
      <c r="D13" s="20">
        <f>D9+D10+D11+D12</f>
        <v>259867282.38895568</v>
      </c>
      <c r="E13" s="20">
        <f>E9+E10+E11+E12</f>
        <v>270623498.5623796</v>
      </c>
      <c r="F13" s="20">
        <f>F9+F10+F11+F12</f>
        <v>281824927.3278075</v>
      </c>
    </row>
    <row r="14" spans="1:6" x14ac:dyDescent="0.25">
      <c r="A14" t="s">
        <v>50</v>
      </c>
      <c r="B14" s="21">
        <f>1/(1+Assumptions!$B$26)^(1-0.5*Assumptions!$B$32)</f>
        <v>0.9693702606680749</v>
      </c>
      <c r="C14" s="21">
        <f>1/(1+Assumptions!$B$26)^(2-0.5*Assumptions!$B$32)</f>
        <v>0.9108965885614706</v>
      </c>
      <c r="D14" s="21">
        <f>1/(1+Assumptions!$B$26)^(3-0.5*Assumptions!$B$32)</f>
        <v>0.8559501242395099</v>
      </c>
      <c r="E14" s="21">
        <f>1/(1+Assumptions!$B$26)^(4-0.5*Assumptions!$B$32)</f>
        <v>0.804318101951252</v>
      </c>
      <c r="F14" s="21">
        <f>1/(1+Assumptions!$B$26)^(5-0.5*Assumptions!$B$32)</f>
        <v>0.7558005902519653</v>
      </c>
    </row>
    <row r="15" spans="1:6" x14ac:dyDescent="0.25">
      <c r="A15" s="19" t="s">
        <v>51</v>
      </c>
      <c r="B15" s="20">
        <f>B13*B14</f>
        <v>232280898.68984753</v>
      </c>
      <c r="C15" s="20">
        <f>C13*C14</f>
        <v>227303844.30058008</v>
      </c>
      <c r="D15" s="20">
        <f>D13*D14</f>
        <v>222433432.6466104</v>
      </c>
      <c r="E15" s="20">
        <f>E13*E14</f>
        <v>217667378.70710054</v>
      </c>
      <c r="F15" s="20">
        <f>F13*F14</f>
        <v>213003446.42207414</v>
      </c>
    </row>
    <row r="17" spans="1:2" x14ac:dyDescent="0.25">
      <c r="A17" s="22" t="s">
        <v>52</v>
      </c>
      <c r="B17" s="23">
        <f>SUM(B15:F15)</f>
        <v>1112689000.7662127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281824927.3278075</v>
      </c>
    </row>
    <row r="5" spans="1:2" x14ac:dyDescent="0.25">
      <c r="A5" t="s">
        <v>56</v>
      </c>
      <c r="B5" s="18">
        <f>IF(Assumptions!$B$33=0,B4,B4-Forecast!F11-Forecast!F10-Forecast!F12)</f>
        <v>279025528.4659879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0.3894473169483855</v>
      </c>
    </row>
    <row r="7" spans="1:2" x14ac:dyDescent="0.25">
      <c r="A7" t="s">
        <v>58</v>
      </c>
      <c r="B7" s="18">
        <f>-MAX(Forecast!F9,0)*B6</f>
        <v>-108665743.42118436</v>
      </c>
    </row>
    <row r="8" spans="1:2" x14ac:dyDescent="0.25">
      <c r="A8" t="s">
        <v>59</v>
      </c>
      <c r="B8" s="18">
        <f>IF(OR(Assumptions!$B$33=0,Assumptions!B12&lt;=0),B5,MAX(B5+B7,0))</f>
        <v>170359785.04480356</v>
      </c>
    </row>
    <row r="9" spans="1:2" x14ac:dyDescent="0.25">
      <c r="A9" t="s">
        <v>60</v>
      </c>
      <c r="B9" s="18">
        <f>B8*(1+Assumptions!B12)/(Assumptions!B26-Assumptions!B12)</f>
        <v>4455295480.2685585</v>
      </c>
    </row>
    <row r="10" spans="1:2" x14ac:dyDescent="0.25">
      <c r="A10" t="s">
        <v>61</v>
      </c>
      <c r="B10" s="18">
        <f>B9/(1+Assumptions!B26)^(5-0.5*Assumptions!B32)</f>
        <v>3367314953.73389</v>
      </c>
    </row>
    <row r="11" spans="1:2" x14ac:dyDescent="0.25">
      <c r="A11" t="s">
        <v>62</v>
      </c>
      <c r="B11" s="18">
        <f>Forecast!B17+B10</f>
        <v>4480003954.500103</v>
      </c>
    </row>
    <row r="12" spans="1:2" x14ac:dyDescent="0.25">
      <c r="A12" t="s">
        <v>63</v>
      </c>
      <c r="B12" s="18">
        <f>-Assumptions!B30</f>
        <v>-4973977000</v>
      </c>
    </row>
    <row r="13" spans="1:2" x14ac:dyDescent="0.25">
      <c r="A13" t="s">
        <v>64</v>
      </c>
      <c r="B13" s="18">
        <f>B11+B12</f>
        <v>-493973045.499897</v>
      </c>
    </row>
    <row r="14" spans="1:2" x14ac:dyDescent="0.25">
      <c r="A14" s="19" t="s">
        <v>65</v>
      </c>
      <c r="B14" s="24">
        <f>B13/Assumptions!B31</f>
        <v>-0.8026183122321432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377992836.39887893</v>
      </c>
    </row>
    <row r="18" spans="1:2" x14ac:dyDescent="0.25">
      <c r="A18" t="s">
        <v>60</v>
      </c>
      <c r="B18" s="18">
        <f>B17*Assumptions!B13</f>
        <v>7559856727.977579</v>
      </c>
    </row>
    <row r="19" spans="1:2" x14ac:dyDescent="0.25">
      <c r="A19" t="s">
        <v>61</v>
      </c>
      <c r="B19" s="18">
        <f>B18/(1+Assumptions!B26)^(5-0.5*Assumptions!B32)</f>
        <v>5713744177.225745</v>
      </c>
    </row>
    <row r="20" spans="1:2" x14ac:dyDescent="0.25">
      <c r="A20" t="s">
        <v>62</v>
      </c>
      <c r="B20" s="18">
        <f>Forecast!B17+B19</f>
        <v>6826433177.991958</v>
      </c>
    </row>
    <row r="21" spans="1:2" x14ac:dyDescent="0.25">
      <c r="A21" t="s">
        <v>63</v>
      </c>
      <c r="B21" s="18">
        <f>-Assumptions!B30</f>
        <v>-4973977000</v>
      </c>
    </row>
    <row r="22" spans="1:2" x14ac:dyDescent="0.25">
      <c r="A22" t="s">
        <v>64</v>
      </c>
      <c r="B22" s="18">
        <f>B20+B21</f>
        <v>1852456177.9919577</v>
      </c>
    </row>
    <row r="23" spans="1:2" x14ac:dyDescent="0.25">
      <c r="A23" s="19" t="s">
        <v>65</v>
      </c>
      <c r="B23" s="25">
        <f>B22/Assumptions!B31</f>
        <v>3.009911703905354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5.085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-0.8026183122321432</v>
      </c>
    </row>
    <row r="29" spans="1:2" x14ac:dyDescent="0.25">
      <c r="A29" s="19" t="s">
        <v>73</v>
      </c>
      <c r="B29" s="12">
        <f>B28/B26-1</f>
        <v>-1.1578403760535187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0.044194</v>
      </c>
      <c r="B5" s="31">
        <v>2.384145153281431</v>
      </c>
      <c r="C5" s="31">
        <v>2.4263673742915532</v>
      </c>
      <c r="D5" s="31">
        <v>2.4685895953016725</v>
      </c>
      <c r="E5" s="31">
        <v>2.510811816311795</v>
      </c>
      <c r="F5" s="31">
        <v>2.5530340373219143</v>
      </c>
    </row>
    <row r="6" spans="1:6" x14ac:dyDescent="0.25">
      <c r="A6" s="30">
        <v>0.054194</v>
      </c>
      <c r="B6" s="31">
        <v>0.4647835840776042</v>
      </c>
      <c r="C6" s="31">
        <v>0.49776931553713866</v>
      </c>
      <c r="D6" s="31">
        <v>0.5307550469966731</v>
      </c>
      <c r="E6" s="31">
        <v>0.5637407784562107</v>
      </c>
      <c r="F6" s="31">
        <v>0.5967265099157452</v>
      </c>
    </row>
    <row r="7" spans="1:6" x14ac:dyDescent="0.25">
      <c r="A7" s="30">
        <v>0.064194</v>
      </c>
      <c r="B7" s="31">
        <v>-0.8560485597811262</v>
      </c>
      <c r="C7" s="31">
        <v>-0.8293595972852033</v>
      </c>
      <c r="D7" s="32">
        <v>-0.8026706347892819</v>
      </c>
      <c r="E7" s="31">
        <v>-0.775981672293359</v>
      </c>
      <c r="F7" s="31">
        <v>-0.7492927097974362</v>
      </c>
    </row>
    <row r="8" spans="1:6" x14ac:dyDescent="0.25">
      <c r="A8" s="30">
        <v>0.074194</v>
      </c>
      <c r="B8" s="31">
        <v>-1.8203893656763999</v>
      </c>
      <c r="C8" s="31">
        <v>-1.7982493093980776</v>
      </c>
      <c r="D8" s="31">
        <v>-1.776109253119757</v>
      </c>
      <c r="E8" s="31">
        <v>-1.7539691968414355</v>
      </c>
      <c r="F8" s="31">
        <v>-1.7318291405631134</v>
      </c>
    </row>
    <row r="9" spans="1:6" x14ac:dyDescent="0.25">
      <c r="A9" s="30">
        <v>0.084194</v>
      </c>
      <c r="B9" s="31">
        <v>-2.555284949643914</v>
      </c>
      <c r="C9" s="31">
        <v>-2.5365713594200088</v>
      </c>
      <c r="D9" s="31">
        <v>-2.517857769196106</v>
      </c>
      <c r="E9" s="31">
        <v>-2.4991441789722013</v>
      </c>
      <c r="F9" s="31">
        <v>-2.4804305887482987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408400000</v>
      </c>
      <c r="C5" s="18">
        <v>502412000</v>
      </c>
      <c r="D5" s="18">
        <v>387282000</v>
      </c>
      <c r="E5" s="18">
        <v>361613000</v>
      </c>
      <c r="F5" s="8" t="s">
        <v>84</v>
      </c>
    </row>
    <row r="6" spans="1:6" x14ac:dyDescent="0.25">
      <c r="A6" t="s">
        <v>44</v>
      </c>
      <c r="B6" s="18">
        <v>318231000</v>
      </c>
      <c r="C6" s="18">
        <v>318433000</v>
      </c>
      <c r="D6" s="18">
        <v>303782000</v>
      </c>
      <c r="E6" s="18">
        <v>270412000</v>
      </c>
      <c r="F6" s="8" t="s">
        <v>85</v>
      </c>
    </row>
    <row r="7" spans="1:6" x14ac:dyDescent="0.25">
      <c r="A7" t="s">
        <v>86</v>
      </c>
      <c r="B7" s="18">
        <v>6207000</v>
      </c>
      <c r="C7" s="18">
        <v>7332000</v>
      </c>
      <c r="D7" s="18">
        <v>8828000</v>
      </c>
      <c r="E7" s="18">
        <v>8988000</v>
      </c>
      <c r="F7" s="8" t="s">
        <v>87</v>
      </c>
    </row>
    <row r="8" spans="1:6" x14ac:dyDescent="0.25">
      <c r="A8" t="s">
        <v>88</v>
      </c>
      <c r="B8" s="18">
        <v>5334000</v>
      </c>
      <c r="C8" s="18">
        <v>4235000</v>
      </c>
      <c r="D8" s="18">
        <v>9384000</v>
      </c>
      <c r="E8" s="18">
        <v>6188000</v>
      </c>
      <c r="F8" s="8" t="s">
        <v>89</v>
      </c>
    </row>
    <row r="9" spans="1:6" x14ac:dyDescent="0.25">
      <c r="A9" t="s">
        <v>90</v>
      </c>
      <c r="B9" s="18">
        <v>17811000</v>
      </c>
      <c r="C9" s="18">
        <v>-62256000</v>
      </c>
      <c r="D9" s="18">
        <v>53825000</v>
      </c>
      <c r="E9" s="18">
        <v>20907000</v>
      </c>
      <c r="F9" s="8" t="s">
        <v>91</v>
      </c>
    </row>
    <row r="10" spans="1:6" x14ac:dyDescent="0.25">
      <c r="A10" t="s">
        <v>92</v>
      </c>
      <c r="B10" s="18">
        <v>5126902000</v>
      </c>
      <c r="C10" s="18">
        <v>4999588000</v>
      </c>
      <c r="D10" s="18">
        <v>5294056000</v>
      </c>
      <c r="E10" s="18">
        <v>5433345000</v>
      </c>
      <c r="F10" s="8" t="s">
        <v>93</v>
      </c>
    </row>
    <row r="11" spans="1:6" x14ac:dyDescent="0.25">
      <c r="A11" t="s">
        <v>94</v>
      </c>
      <c r="B11" s="18">
        <v>152925000</v>
      </c>
      <c r="C11" s="18">
        <v>551793000</v>
      </c>
      <c r="D11" s="18">
        <v>436546000</v>
      </c>
      <c r="E11" s="18">
        <v>158584000</v>
      </c>
      <c r="F11" s="8" t="s">
        <v>95</v>
      </c>
    </row>
    <row r="12" spans="1:6" x14ac:dyDescent="0.25">
      <c r="A12" t="s">
        <v>32</v>
      </c>
      <c r="B12" s="34">
        <v>615452000</v>
      </c>
      <c r="C12" s="34">
        <v>576863000</v>
      </c>
      <c r="D12" s="34">
        <v>531476000</v>
      </c>
      <c r="E12" s="34">
        <v>531429000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2026-09-19T00:08:09Z</dcterms:modified>
</cp:coreProperties>
</file>