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<sst xmlns="http://schemas.openxmlformats.org/spreadsheetml/2006/main" count="120" uniqueCount="103">
  <si>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Continental Aktiengesellschaft (CON.DE)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</si>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</sst>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-0.20668164921557663</v>
      </c>
    </row>
    <row r="7" spans="1:2" x14ac:dyDescent="0.25">
      <c r="A7" t="s">
        <v>5</v>
      </c>
      <c r="B7" s="6">
        <v>0.04742667229358287</v>
      </c>
    </row>
    <row r="8" spans="1:2" x14ac:dyDescent="0.25">
      <c r="A8" t="s">
        <v>6</v>
      </c>
      <c r="B8" s="6">
        <v>0.2620519159456119</v>
      </c>
    </row>
    <row r="9" spans="1:2" x14ac:dyDescent="0.25">
      <c r="A9" t="s">
        <v>7</v>
      </c>
      <c r="B9" s="6">
        <v>0.06744187471438771</v>
      </c>
    </row>
    <row r="10" spans="1:2" x14ac:dyDescent="0.25">
      <c r="A10" t="s">
        <v>8</v>
      </c>
      <c r="B10" s="6">
        <v>0.05349658842908061</v>
      </c>
    </row>
    <row r="11" spans="1:2" x14ac:dyDescent="0.25">
      <c r="A11" t="s">
        <v>9</v>
      </c>
      <c r="B11" s="6">
        <v>-0.0334051724137931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0.04878087398547597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1.2150699999999999</v>
      </c>
      <c r="C19" s="8" t="s">
        <v>19</v>
      </c>
    </row>
    <row r="20" spans="1:2" x14ac:dyDescent="0.25">
      <c r="A20" t="s">
        <v>20</v>
      </c>
      <c r="B20" s="10">
        <f>B17+B19*B18</f>
        <v>0.09890419999999998</v>
      </c>
    </row>
    <row r="21" spans="1:3" x14ac:dyDescent="0.25">
      <c r="A21" t="s">
        <v>21</v>
      </c>
      <c r="B21" s="6">
        <v>0.051529085468214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6822000000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0.03802578989434333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19676000000</v>
      </c>
      <c r="C29" s="8" t="s">
        <v>30</v>
      </c>
    </row>
    <row r="30" spans="1:2" x14ac:dyDescent="0.25">
      <c r="A30" t="s">
        <v>31</v>
      </c>
      <c r="B30" s="11">
        <v>5398000000</v>
      </c>
    </row>
    <row r="31" spans="1:2" x14ac:dyDescent="0.25">
      <c r="A31" t="s">
        <v>32</v>
      </c>
      <c r="B31" s="13">
        <v>200000000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-0.20668164921557663</v>
      </c>
      <c r="C5" s="10">
        <f>Assumptions!B6</f>
        <v>-0.20668164921557663</v>
      </c>
      <c r="D5" s="10">
        <f>Assumptions!B6</f>
        <v>-0.20668164921557663</v>
      </c>
      <c r="E5" s="10">
        <f>Assumptions!B6</f>
        <v>-0.20668164921557663</v>
      </c>
      <c r="F5" s="10">
        <f>Assumptions!B6</f>
        <v>-0.20668164921557663</v>
      </c>
    </row>
    <row r="6" spans="1:6" x14ac:dyDescent="0.25">
      <c r="A6" t="s">
        <v>43</v>
      </c>
      <c r="B6" s="18">
        <f>Assumptions!B29*(1+B5)</f>
        <v>15609331870.034313</v>
      </c>
      <c r="C6" s="18">
        <f>B6*(1+C5)</f>
        <v>12383169415.98236</v>
      </c>
      <c r="D6" s="18">
        <f>C6*(1+D5)</f>
        <v>9823795538.571238</v>
      </c>
      <c r="E6" s="18">
        <f>D6*(1+E5)</f>
        <v>7793397275.102711</v>
      </c>
      <c r="F6" s="18">
        <f>E6*(1+F5)</f>
        <v>6182645073.292301</v>
      </c>
    </row>
    <row r="7" spans="1:6" x14ac:dyDescent="0.25">
      <c r="A7" t="s">
        <v>5</v>
      </c>
      <c r="B7" s="10">
        <f>Assumptions!B7</f>
        <v>0.04742667229358287</v>
      </c>
      <c r="C7" s="10">
        <f>Assumptions!B7</f>
        <v>0.04742667229358287</v>
      </c>
      <c r="D7" s="10">
        <f>Assumptions!B7</f>
        <v>0.04742667229358287</v>
      </c>
      <c r="E7" s="10">
        <f>Assumptions!B7</f>
        <v>0.04742667229358287</v>
      </c>
      <c r="F7" s="10">
        <f>Assumptions!B7</f>
        <v>0.04742667229358287</v>
      </c>
    </row>
    <row r="8" spans="1:6" x14ac:dyDescent="0.25">
      <c r="A8" t="s">
        <v>44</v>
      </c>
      <c r="B8" s="18">
        <f>B6*B7</f>
        <v>740298667.3218964</v>
      </c>
      <c r="C8" s="18">
        <f>C6*C7</f>
        <v>587292517.8477134</v>
      </c>
      <c r="D8" s="18">
        <f>D6*D7</f>
        <v>465909931.68697953</v>
      </c>
      <c r="E8" s="18">
        <f>E6*E7</f>
        <v>369614898.619998</v>
      </c>
      <c r="F8" s="18">
        <f>F6*F7</f>
        <v>293222281.7985686</v>
      </c>
    </row>
    <row r="9" spans="1:6" x14ac:dyDescent="0.25">
      <c r="A9" t="s">
        <v>45</v>
      </c>
      <c r="B9" s="18">
        <f>B8*(1-Assumptions!B8)</f>
        <v>546301983.1782104</v>
      </c>
      <c r="C9" s="18">
        <f>C8*(1-Assumptions!B8)</f>
        <v>433391388.32519764</v>
      </c>
      <c r="D9" s="18">
        <f>D8*(1-Assumptions!B8)</f>
        <v>343817341.4303174</v>
      </c>
      <c r="E9" s="18">
        <f>E8*(1-Assumptions!B8)</f>
        <v>272756606.2745844</v>
      </c>
      <c r="F9" s="18">
        <f>F8*(1-Assumptions!B8)</f>
        <v>216382821.0553096</v>
      </c>
    </row>
    <row r="10" spans="1:6" x14ac:dyDescent="0.25">
      <c r="A10" t="s">
        <v>46</v>
      </c>
      <c r="B10" s="18">
        <f>B6*Assumptions!B9</f>
        <v>1052722604.3541534</v>
      </c>
      <c r="C10" s="18">
        <f>C6*Assumptions!B9</f>
        <v>835144160.31972</v>
      </c>
      <c r="D10" s="18">
        <f>D6*Assumptions!B9</f>
        <v>662535187.9320824</v>
      </c>
      <c r="E10" s="18">
        <f>E6*Assumptions!B9</f>
        <v>525601322.6269276</v>
      </c>
      <c r="F10" s="18">
        <f>F6*Assumptions!B9</f>
        <v>416969174.43650585</v>
      </c>
    </row>
    <row r="11" spans="1:6" x14ac:dyDescent="0.25">
      <c r="A11" t="s">
        <v>47</v>
      </c>
      <c r="B11" s="18">
        <f>-B6*Assumptions!B10</f>
        <v>-835046002.7041569</v>
      </c>
      <c r="C11" s="18">
        <f>-C6*Assumptions!B10</f>
        <v>-662457317.6943868</v>
      </c>
      <c r="D11" s="18">
        <f>-D6*Assumptions!B10</f>
        <v>-525539546.73838377</v>
      </c>
      <c r="E11" s="18">
        <f>-E6*Assumptions!B10</f>
        <v>-416920166.490488</v>
      </c>
      <c r="F11" s="18">
        <f>-F6*Assumptions!B10</f>
        <v>-330750418.88900113</v>
      </c>
    </row>
    <row r="12" spans="1:6" x14ac:dyDescent="0.25">
      <c r="A12" t="s">
        <v>48</v>
      </c>
      <c r="B12" s="18">
        <f>-(B6-Assumptions!B29)*Assumptions!B11</f>
        <v>-135847750.03118134</v>
      </c>
      <c r="C12" s="18">
        <f>-(C6-B6)*Assumptions!B11</f>
        <v>-107770513.01251133</v>
      </c>
      <c r="D12" s="18">
        <f>-(D6-C6)*Assumptions!B11</f>
        <v>-85496325.64627674</v>
      </c>
      <c r="E12" s="18">
        <f>-(E6-D6)*Assumptions!B11</f>
        <v>-67825804.05983225</v>
      </c>
      <c r="F12" s="18">
        <f>-(F6-E6)*Assumptions!B11</f>
        <v>-53807455.01737359</v>
      </c>
    </row>
    <row r="13" spans="1:6" x14ac:dyDescent="0.25">
      <c r="A13" s="19" t="s">
        <v>49</v>
      </c>
      <c r="B13" s="20">
        <f>B9+B10+B11+B12</f>
        <v>628130834.7970257</v>
      </c>
      <c r="C13" s="20">
        <f>C9+C10+C11+C12</f>
        <v>498307717.9380196</v>
      </c>
      <c r="D13" s="20">
        <f>D9+D10+D11+D12</f>
        <v>395316656.97773933</v>
      </c>
      <c r="E13" s="20">
        <f>E9+E10+E11+E12</f>
        <v>313611958.35119176</v>
      </c>
      <c r="F13" s="20">
        <f>F9+F10+F11+F12</f>
        <v>248794121.58544073</v>
      </c>
    </row>
    <row r="14" spans="1:6" x14ac:dyDescent="0.25">
      <c r="A14" t="s">
        <v>50</v>
      </c>
      <c r="B14" s="21">
        <f>1/(1+Assumptions!$B$26)^(1-0.5*Assumptions!$B$32)</f>
        <v>0.9815127106744358</v>
      </c>
      <c r="C14" s="21">
        <f>1/(1+Assumptions!$B$26)^(2-0.5*Assumptions!$B$32)</f>
        <v>0.9455571530398491</v>
      </c>
      <c r="D14" s="21">
        <f>1/(1+Assumptions!$B$26)^(3-0.5*Assumptions!$B$32)</f>
        <v>0.9109187481132757</v>
      </c>
      <c r="E14" s="21">
        <f>1/(1+Assumptions!$B$26)^(4-0.5*Assumptions!$B$32)</f>
        <v>0.8775492449045939</v>
      </c>
      <c r="F14" s="21">
        <f>1/(1+Assumptions!$B$26)^(5-0.5*Assumptions!$B$32)</f>
        <v>0.8454021599924952</v>
      </c>
    </row>
    <row r="15" spans="1:6" x14ac:dyDescent="0.25">
      <c r="A15" s="19" t="s">
        <v>51</v>
      </c>
      <c r="B15" s="20">
        <f>B13*B14</f>
        <v>616518398.3198249</v>
      </c>
      <c r="C15" s="20">
        <f>C13*C14</f>
        <v>471178427.1112579</v>
      </c>
      <c r="D15" s="20">
        <f>D13*D14</f>
        <v>360101354.2824875</v>
      </c>
      <c r="E15" s="20">
        <f>E13*E14</f>
        <v>275209937.24413925</v>
      </c>
      <c r="F15" s="20">
        <f>F13*F14</f>
        <v>210331087.78176707</v>
      </c>
    </row>
    <row r="17" spans="1:2" x14ac:dyDescent="0.25">
      <c r="A17" s="22" t="s">
        <v>52</v>
      </c>
      <c r="B17" s="23">
        <f>SUM(B15:F15)</f>
        <v>1933339204.7394764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248794121.58544073</v>
      </c>
    </row>
    <row r="5" spans="1:2" x14ac:dyDescent="0.25">
      <c r="A5" t="s">
        <v>56</v>
      </c>
      <c r="B5" s="18">
        <f>IF(Assumptions!$B$33=0,B4,B4-Forecast!F11-Forecast!F10-Forecast!F12)</f>
        <v>222358390.3662309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0.5124959427222134</v>
      </c>
    </row>
    <row r="7" spans="1:2" x14ac:dyDescent="0.25">
      <c r="A7" t="s">
        <v>58</v>
      </c>
      <c r="B7" s="18">
        <f>-MAX(Forecast!F9,0)*B6</f>
        <v>-113957772.89293545</v>
      </c>
    </row>
    <row r="8" spans="1:2" x14ac:dyDescent="0.25">
      <c r="A8" t="s">
        <v>59</v>
      </c>
      <c r="B8" s="18">
        <f>IF(OR(Assumptions!$B$33=0,Assumptions!B12&lt;=0),B5,MAX(B5+B7,0))</f>
        <v>108400617.47329545</v>
      </c>
    </row>
    <row r="9" spans="1:2" x14ac:dyDescent="0.25">
      <c r="A9" t="s">
        <v>60</v>
      </c>
      <c r="B9" s="18">
        <f>B8*(1+Assumptions!B12)/(Assumptions!B26-Assumptions!B12)</f>
        <v>8530049525.701278</v>
      </c>
    </row>
    <row r="10" spans="1:2" x14ac:dyDescent="0.25">
      <c r="A10" t="s">
        <v>61</v>
      </c>
      <c r="B10" s="18">
        <f>B9/(1+Assumptions!B26)^(5-0.5*Assumptions!B32)</f>
        <v>7211322293.87082</v>
      </c>
    </row>
    <row r="11" spans="1:2" x14ac:dyDescent="0.25">
      <c r="A11" t="s">
        <v>62</v>
      </c>
      <c r="B11" s="18">
        <f>Forecast!B17+B10</f>
        <v>9144661498.610296</v>
      </c>
    </row>
    <row r="12" spans="1:2" x14ac:dyDescent="0.25">
      <c r="A12" t="s">
        <v>63</v>
      </c>
      <c r="B12" s="18">
        <f>-Assumptions!B30</f>
        <v>-5398000000</v>
      </c>
    </row>
    <row r="13" spans="1:2" x14ac:dyDescent="0.25">
      <c r="A13" t="s">
        <v>64</v>
      </c>
      <c r="B13" s="18">
        <f>B11+B12</f>
        <v>3746661498.6102962</v>
      </c>
    </row>
    <row r="14" spans="1:2" x14ac:dyDescent="0.25">
      <c r="A14" s="19" t="s">
        <v>65</v>
      </c>
      <c r="B14" s="24">
        <f>B13/Assumptions!B31</f>
        <v>18.73330749305148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710191456.2350745</v>
      </c>
    </row>
    <row r="18" spans="1:2" x14ac:dyDescent="0.25">
      <c r="A18" t="s">
        <v>60</v>
      </c>
      <c r="B18" s="18">
        <f>B17*Assumptions!B13</f>
        <v>5681531649.880596</v>
      </c>
    </row>
    <row r="19" spans="1:2" x14ac:dyDescent="0.25">
      <c r="A19" t="s">
        <v>61</v>
      </c>
      <c r="B19" s="18">
        <f>B18/(1+Assumptions!B26)^(5-0.5*Assumptions!B32)</f>
        <v>4803179128.874782</v>
      </c>
    </row>
    <row r="20" spans="1:2" x14ac:dyDescent="0.25">
      <c r="A20" t="s">
        <v>62</v>
      </c>
      <c r="B20" s="18">
        <f>Forecast!B17+B19</f>
        <v>6736518333.614258</v>
      </c>
    </row>
    <row r="21" spans="1:2" x14ac:dyDescent="0.25">
      <c r="A21" t="s">
        <v>63</v>
      </c>
      <c r="B21" s="18">
        <f>-Assumptions!B30</f>
        <v>-5398000000</v>
      </c>
    </row>
    <row r="22" spans="1:2" x14ac:dyDescent="0.25">
      <c r="A22" t="s">
        <v>64</v>
      </c>
      <c r="B22" s="18">
        <f>B20+B21</f>
        <v>1338518333.6142578</v>
      </c>
    </row>
    <row r="23" spans="1:2" x14ac:dyDescent="0.25">
      <c r="A23" s="19" t="s">
        <v>65</v>
      </c>
      <c r="B23" s="25">
        <f>B22/Assumptions!B31</f>
        <v>6.692591668071289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18.73330749305148</v>
      </c>
    </row>
    <row r="29" spans="1:2" x14ac:dyDescent="0.25">
      <c r="A29" s="19" t="s">
        <v>73</v>
      </c>
      <c r="B29" s="12">
        <f>B28/B26-1</f>
        <v>-0.722715993294087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0.018026</v>
      </c>
      <c r="B5" s="31">
        <v>221.36115680455063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0.028026</v>
      </c>
      <c r="B6" s="31">
        <v>35.84072532189935</v>
      </c>
      <c r="C6" s="31">
        <v>56.47847197526431</v>
      </c>
      <c r="D6" s="31">
        <v>144.98507886754197</v>
      </c>
      <c r="E6" s="31" t="s">
        <v>76</v>
      </c>
      <c r="F6" s="31" t="s">
        <v>76</v>
      </c>
    </row>
    <row r="7" spans="1:6" x14ac:dyDescent="0.25">
      <c r="A7" s="30">
        <v>0.038026</v>
      </c>
      <c r="B7" s="31">
        <v>11.368329296189595</v>
      </c>
      <c r="C7" s="31">
        <v>14.055879298283234</v>
      </c>
      <c r="D7" s="32">
        <v>18.73268919788373</v>
      </c>
      <c r="E7" s="31">
        <v>29.1165385193622</v>
      </c>
      <c r="F7" s="31">
        <v>73.49744422510153</v>
      </c>
    </row>
    <row r="8" spans="1:6" x14ac:dyDescent="0.25">
      <c r="A8" s="30">
        <v>0.048026</v>
      </c>
      <c r="B8" s="31">
        <v>1.655196014333048</v>
      </c>
      <c r="C8" s="31">
        <v>1.8263356534559632</v>
      </c>
      <c r="D8" s="31">
        <v>2.0317268732129192</v>
      </c>
      <c r="E8" s="31">
        <v>2.2998714881779287</v>
      </c>
      <c r="F8" s="31">
        <v>2.7030327355781267</v>
      </c>
    </row>
    <row r="9" spans="1:6" x14ac:dyDescent="0.25">
      <c r="A9" s="30">
        <v>0.058026</v>
      </c>
      <c r="B9" s="31">
        <v>-2.5903462384578466</v>
      </c>
      <c r="C9" s="31">
        <v>-2.5160208195534324</v>
      </c>
      <c r="D9" s="31">
        <v>-2.441695400649023</v>
      </c>
      <c r="E9" s="31">
        <v>-2.3673699817446137</v>
      </c>
      <c r="F9" s="31">
        <v>-2.2930445628401994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19676000000</v>
      </c>
      <c r="C5" s="18">
        <v>20077000000</v>
      </c>
      <c r="D5" s="18">
        <v>41421000000</v>
      </c>
      <c r="E5" s="18">
        <v>39408900000</v>
      </c>
      <c r="F5" s="8" t="s">
        <v>85</v>
      </c>
    </row>
    <row r="6" spans="1:6" x14ac:dyDescent="0.25">
      <c r="A6" t="s">
        <v>44</v>
      </c>
      <c r="B6" s="18">
        <v>1532000000</v>
      </c>
      <c r="C6" s="18">
        <v>1862000000</v>
      </c>
      <c r="D6" s="18">
        <v>776000000</v>
      </c>
      <c r="E6" s="18">
        <v>14500000</v>
      </c>
      <c r="F6" s="8" t="s">
        <v>86</v>
      </c>
    </row>
    <row r="7" spans="1:6" x14ac:dyDescent="0.25">
      <c r="A7" t="s">
        <v>87</v>
      </c>
      <c r="B7" s="18">
        <v>1586000000</v>
      </c>
      <c r="C7" s="18">
        <v>1111000000</v>
      </c>
      <c r="D7" s="18">
        <v>2168000000</v>
      </c>
      <c r="E7" s="18">
        <v>3211200000</v>
      </c>
      <c r="F7" s="8" t="s">
        <v>88</v>
      </c>
    </row>
    <row r="8" spans="1:6" x14ac:dyDescent="0.25">
      <c r="A8" t="s">
        <v>89</v>
      </c>
      <c r="B8" s="18">
        <v>1075000000</v>
      </c>
      <c r="C8" s="18">
        <v>1056000000</v>
      </c>
      <c r="D8" s="18">
        <v>2142000000</v>
      </c>
      <c r="E8" s="18">
        <v>2169100000</v>
      </c>
      <c r="F8" s="8" t="s">
        <v>90</v>
      </c>
    </row>
    <row r="9" spans="1:6" x14ac:dyDescent="0.25">
      <c r="A9" t="s">
        <v>91</v>
      </c>
      <c r="B9" s="18">
        <v>-270000000</v>
      </c>
      <c r="C9" s="18">
        <v>713000000</v>
      </c>
      <c r="D9" s="18">
        <v>-95000000</v>
      </c>
      <c r="E9" s="18">
        <v>969000000</v>
      </c>
      <c r="F9" s="8" t="s">
        <v>92</v>
      </c>
    </row>
    <row r="10" spans="1:6" x14ac:dyDescent="0.25">
      <c r="A10" t="s">
        <v>93</v>
      </c>
      <c r="B10" s="18">
        <v>6822000000</v>
      </c>
      <c r="C10" s="18">
        <v>6879000000</v>
      </c>
      <c r="D10" s="18">
        <v>7162000000</v>
      </c>
      <c r="E10" s="18">
        <v>7674100000</v>
      </c>
      <c r="F10" s="8" t="s">
        <v>94</v>
      </c>
    </row>
    <row r="11" spans="1:6" x14ac:dyDescent="0.25">
      <c r="A11" t="s">
        <v>95</v>
      </c>
      <c r="B11" s="18">
        <v>1424000000</v>
      </c>
      <c r="C11" s="18">
        <v>2720000000</v>
      </c>
      <c r="D11" s="18">
        <v>2683000000</v>
      </c>
      <c r="E11" s="18">
        <v>2441300000</v>
      </c>
      <c r="F11" s="8" t="s">
        <v>96</v>
      </c>
    </row>
    <row r="12" spans="1:6" x14ac:dyDescent="0.25">
      <c r="A12" t="s">
        <v>32</v>
      </c>
      <c r="B12" s="34">
        <v>200000000</v>
      </c>
      <c r="C12" s="34">
        <v>200000000</v>
      </c>
      <c r="D12" s="34">
        <v>200000000</v>
      </c>
      <c r="E12" s="34">
        <v>200000000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