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<sst xmlns="http://schemas.openxmlformats.org/spreadsheetml/2006/main" count="111" uniqueCount="99">
  <si>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Cooper Companies, Inc. (COO)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</si>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</sst>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0.07346203139761864</v>
      </c>
    </row>
    <row r="7" spans="1:2" x14ac:dyDescent="0.25">
      <c r="A7" t="s">
        <v>5</v>
      </c>
      <c r="B7" s="6">
        <v>0.1624559768030929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0.09886436812606841</v>
      </c>
    </row>
    <row r="10" spans="1:2" x14ac:dyDescent="0.25">
      <c r="A10" t="s">
        <v>8</v>
      </c>
      <c r="B10" s="6">
        <v>0.09476579450883552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12.174277589361502</v>
      </c>
    </row>
    <row r="14" spans="1:3" x14ac:dyDescent="0.25">
      <c r="A14" t="s">
        <v>12</v>
      </c>
      <c r="B14" s="6">
        <v>0.08696025870348781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0.87806</v>
      </c>
      <c r="C19" s="8" t="s">
        <v>19</v>
      </c>
    </row>
    <row r="20" spans="1:2" x14ac:dyDescent="0.25">
      <c r="A20" t="s">
        <v>20</v>
      </c>
      <c r="B20" s="10">
        <f>B17+B19*B18</f>
        <v>0.09827330000000001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10513686528</v>
      </c>
    </row>
    <row r="23" spans="1:2" x14ac:dyDescent="0.25">
      <c r="A23" t="s">
        <v>24</v>
      </c>
      <c r="B23" s="11">
        <v>2505300000</v>
      </c>
    </row>
    <row r="24" spans="1:2" x14ac:dyDescent="0.25">
      <c r="A24" t="s">
        <v>25</v>
      </c>
      <c r="B24" s="10">
        <f>B22/(B22+B23)</f>
        <v>0.8075656661436865</v>
      </c>
    </row>
    <row r="25" spans="1:2" x14ac:dyDescent="0.25">
      <c r="A25" t="s">
        <v>26</v>
      </c>
      <c r="B25" s="10">
        <f>1-B24</f>
        <v>0.19243433385631348</v>
      </c>
    </row>
    <row r="26" spans="1:2" x14ac:dyDescent="0.25">
      <c r="A26" t="s">
        <v>27</v>
      </c>
      <c r="B26" s="12">
        <f>B24*B20+B25*B21*(1-B8)</f>
        <v>0.08696025870348781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4092400000</v>
      </c>
      <c r="C29" s="8" t="s">
        <v>30</v>
      </c>
    </row>
    <row r="30" spans="1:2" x14ac:dyDescent="0.25">
      <c r="A30" t="s">
        <v>31</v>
      </c>
      <c r="B30" s="11">
        <v>2394700000</v>
      </c>
    </row>
    <row r="31" spans="1:2" x14ac:dyDescent="0.25">
      <c r="A31" t="s">
        <v>32</v>
      </c>
      <c r="B31" s="13">
        <v>200000000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0.07346203139761864</v>
      </c>
      <c r="C5" s="10">
        <f>Assumptions!B6</f>
        <v>0.07346203139761864</v>
      </c>
      <c r="D5" s="10">
        <f>Assumptions!B6</f>
        <v>0.07346203139761864</v>
      </c>
      <c r="E5" s="10">
        <f>Assumptions!B6</f>
        <v>0.07346203139761864</v>
      </c>
      <c r="F5" s="10">
        <f>Assumptions!B6</f>
        <v>0.07346203139761864</v>
      </c>
    </row>
    <row r="6" spans="1:6" x14ac:dyDescent="0.25">
      <c r="A6" t="s">
        <v>43</v>
      </c>
      <c r="B6" s="18">
        <f>Assumptions!B29*(1+B5)</f>
        <v>4393036017.291615</v>
      </c>
      <c r="C6" s="18">
        <f>B6*(1+C5)</f>
        <v>4715757367.124761</v>
      </c>
      <c r="D6" s="18">
        <f>C6*(1+D5)</f>
        <v>5062186482.892032</v>
      </c>
      <c r="E6" s="18">
        <f>D6*(1+E5)</f>
        <v>5434064985.238847</v>
      </c>
      <c r="F6" s="18">
        <f>E6*(1+F5)</f>
        <v>5833262437.801163</v>
      </c>
    </row>
    <row r="7" spans="1:6" x14ac:dyDescent="0.25">
      <c r="A7" t="s">
        <v>5</v>
      </c>
      <c r="B7" s="10">
        <f>Assumptions!B7</f>
        <v>0.1624559768030929</v>
      </c>
      <c r="C7" s="10">
        <f>Assumptions!B7</f>
        <v>0.1624559768030929</v>
      </c>
      <c r="D7" s="10">
        <f>Assumptions!B7</f>
        <v>0.1624559768030929</v>
      </c>
      <c r="E7" s="10">
        <f>Assumptions!B7</f>
        <v>0.1624559768030929</v>
      </c>
      <c r="F7" s="10">
        <f>Assumptions!B7</f>
        <v>0.1624559768030929</v>
      </c>
    </row>
    <row r="8" spans="1:6" x14ac:dyDescent="0.25">
      <c r="A8" t="s">
        <v>44</v>
      </c>
      <c r="B8" s="18">
        <f>B6*B7</f>
        <v>713674957.3202782</v>
      </c>
      <c r="C8" s="18">
        <f>C6*C7</f>
        <v>766102969.4426346</v>
      </c>
      <c r="D8" s="18">
        <f>D6*D7</f>
        <v>822382449.8376384</v>
      </c>
      <c r="E8" s="18">
        <f>E6*E7</f>
        <v>882796335.1884614</v>
      </c>
      <c r="F8" s="18">
        <f>F6*F7</f>
        <v>947648347.2817788</v>
      </c>
    </row>
    <row r="9" spans="1:6" x14ac:dyDescent="0.25">
      <c r="A9" t="s">
        <v>45</v>
      </c>
      <c r="B9" s="18">
        <f>B8*(1-Assumptions!B8)</f>
        <v>563803216.2830198</v>
      </c>
      <c r="C9" s="18">
        <f>C8*(1-Assumptions!B8)</f>
        <v>605221345.8596814</v>
      </c>
      <c r="D9" s="18">
        <f>D8*(1-Assumptions!B8)</f>
        <v>649682135.3717344</v>
      </c>
      <c r="E9" s="18">
        <f>E8*(1-Assumptions!B8)</f>
        <v>697409104.7988845</v>
      </c>
      <c r="F9" s="18">
        <f>F8*(1-Assumptions!B8)</f>
        <v>748642194.3526053</v>
      </c>
    </row>
    <row r="10" spans="1:6" x14ac:dyDescent="0.25">
      <c r="A10" t="s">
        <v>46</v>
      </c>
      <c r="B10" s="18">
        <f>B6*Assumptions!B9</f>
        <v>434314730.00459564</v>
      </c>
      <c r="C10" s="18">
        <f>C6*Assumptions!B9</f>
        <v>466220372.3366415</v>
      </c>
      <c r="D10" s="18">
        <f>D6*Assumptions!B9</f>
        <v>500469867.9674453</v>
      </c>
      <c r="E10" s="18">
        <f>E6*Assumptions!B9</f>
        <v>537235401.1216319</v>
      </c>
      <c r="F10" s="18">
        <f>F6*Assumptions!B9</f>
        <v>576701805.0267414</v>
      </c>
    </row>
    <row r="11" spans="1:6" x14ac:dyDescent="0.25">
      <c r="A11" t="s">
        <v>47</v>
      </c>
      <c r="B11" s="18">
        <f>-B6*Assumptions!B10</f>
        <v>-416309548.4845703</v>
      </c>
      <c r="C11" s="18">
        <f>-C6*Assumptions!B10</f>
        <v>-446892493.60647225</v>
      </c>
      <c r="D11" s="18">
        <f>-D6*Assumptions!B10</f>
        <v>-479722124.00315106</v>
      </c>
      <c r="E11" s="18">
        <f>-E6*Assumptions!B10</f>
        <v>-514963485.73880285</v>
      </c>
      <c r="F11" s="18">
        <f>-F6*Assumptions!B10</f>
        <v>-552793749.496774</v>
      </c>
    </row>
    <row r="12" spans="1:6" x14ac:dyDescent="0.25">
      <c r="A12" t="s">
        <v>48</v>
      </c>
      <c r="B12" s="18">
        <f>-(B6-Assumptions!B29)*Assumptions!B11</f>
        <v>-300636017.29161453</v>
      </c>
      <c r="C12" s="18">
        <f>-(C6-B6)*Assumptions!B11</f>
        <v>-322721349.8331461</v>
      </c>
      <c r="D12" s="18">
        <f>-(D6-C6)*Assumptions!B11</f>
        <v>-346429115.76727104</v>
      </c>
      <c r="E12" s="18">
        <f>-(E6-D6)*Assumptions!B11</f>
        <v>-371878502.3468151</v>
      </c>
      <c r="F12" s="18">
        <f>-(F6-E6)*Assumptions!B11</f>
        <v>-399197452.56231594</v>
      </c>
    </row>
    <row r="13" spans="1:6" x14ac:dyDescent="0.25">
      <c r="A13" s="19" t="s">
        <v>49</v>
      </c>
      <c r="B13" s="20">
        <f>B9+B10+B11+B12</f>
        <v>281172380.5114305</v>
      </c>
      <c r="C13" s="20">
        <f>C9+C10+C11+C12</f>
        <v>301827874.75670457</v>
      </c>
      <c r="D13" s="20">
        <f>D9+D10+D11+D12</f>
        <v>324000763.56875765</v>
      </c>
      <c r="E13" s="20">
        <f>E9+E10+E11+E12</f>
        <v>347802517.8348985</v>
      </c>
      <c r="F13" s="20">
        <f>F9+F10+F11+F12</f>
        <v>373352797.32025695</v>
      </c>
    </row>
    <row r="14" spans="1:6" x14ac:dyDescent="0.25">
      <c r="A14" t="s">
        <v>50</v>
      </c>
      <c r="B14" s="21">
        <f>1/(1+Assumptions!$B$26)^(1-0.5*Assumptions!$B$32)</f>
        <v>0.9591646558564604</v>
      </c>
      <c r="C14" s="21">
        <f>1/(1+Assumptions!$B$26)^(2-0.5*Assumptions!$B$32)</f>
        <v>0.8824284495925726</v>
      </c>
      <c r="D14" s="21">
        <f>1/(1+Assumptions!$B$26)^(3-0.5*Assumptions!$B$32)</f>
        <v>0.8118313825430212</v>
      </c>
      <c r="E14" s="21">
        <f>1/(1+Assumptions!$B$26)^(4-0.5*Assumptions!$B$32)</f>
        <v>0.7468823041528337</v>
      </c>
      <c r="F14" s="21">
        <f>1/(1+Assumptions!$B$26)^(5-0.5*Assumptions!$B$32)</f>
        <v>0.6871293574649225</v>
      </c>
    </row>
    <row r="15" spans="1:6" x14ac:dyDescent="0.25">
      <c r="A15" s="19" t="s">
        <v>51</v>
      </c>
      <c r="B15" s="20">
        <f>B13*B14</f>
        <v>269690609.589588</v>
      </c>
      <c r="C15" s="20">
        <f>C13*C14</f>
        <v>266341503.56538</v>
      </c>
      <c r="D15" s="20">
        <f>D13*D14</f>
        <v>263033987.83301908</v>
      </c>
      <c r="E15" s="20">
        <f>E13*E14</f>
        <v>259767545.91068602</v>
      </c>
      <c r="F15" s="20">
        <f>F13*F14</f>
        <v>256541667.7303996</v>
      </c>
    </row>
    <row r="17" spans="1:2" x14ac:dyDescent="0.25">
      <c r="A17" s="22" t="s">
        <v>52</v>
      </c>
      <c r="B17" s="23">
        <f>SUM(B15:F15)</f>
        <v>1315375314.6290727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373352797.32025695</v>
      </c>
    </row>
    <row r="5" spans="1:2" x14ac:dyDescent="0.25">
      <c r="A5" t="s">
        <v>56</v>
      </c>
      <c r="B5" s="18">
        <f>IF(Assumptions!$B$33=0,B4,B4-Forecast!F11-Forecast!F10-Forecast!F12)</f>
        <v>986431835.4036428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0.28748764519254244</v>
      </c>
    </row>
    <row r="7" spans="1:2" x14ac:dyDescent="0.25">
      <c r="A7" t="s">
        <v>58</v>
      </c>
      <c r="B7" s="18">
        <f>-MAX(Forecast!F9,0)*B6</f>
        <v>-283586965.5031509</v>
      </c>
    </row>
    <row r="8" spans="1:2" x14ac:dyDescent="0.25">
      <c r="A8" t="s">
        <v>59</v>
      </c>
      <c r="B8" s="18">
        <f>IF(OR(Assumptions!$B$33=0,Assumptions!B12&lt;=0),B5,MAX(B5+B7,0))</f>
        <v>702844869.900492</v>
      </c>
    </row>
    <row r="9" spans="1:2" x14ac:dyDescent="0.25">
      <c r="A9" t="s">
        <v>60</v>
      </c>
      <c r="B9" s="18">
        <f>B8*(1+Assumptions!B12)/(Assumptions!B26-Assumptions!B12)</f>
        <v>11627065585.629183</v>
      </c>
    </row>
    <row r="10" spans="1:2" x14ac:dyDescent="0.25">
      <c r="A10" t="s">
        <v>61</v>
      </c>
      <c r="B10" s="18">
        <f>B9/(1+Assumptions!B26)^(5-0.5*Assumptions!B32)</f>
        <v>7989298105.055894</v>
      </c>
    </row>
    <row r="11" spans="1:2" x14ac:dyDescent="0.25">
      <c r="A11" t="s">
        <v>62</v>
      </c>
      <c r="B11" s="18">
        <f>Forecast!B17+B10</f>
        <v>9304673419.684967</v>
      </c>
    </row>
    <row r="12" spans="1:2" x14ac:dyDescent="0.25">
      <c r="A12" t="s">
        <v>63</v>
      </c>
      <c r="B12" s="18">
        <f>-Assumptions!B30</f>
        <v>-2394700000</v>
      </c>
    </row>
    <row r="13" spans="1:2" x14ac:dyDescent="0.25">
      <c r="A13" t="s">
        <v>64</v>
      </c>
      <c r="B13" s="18">
        <f>B11+B12</f>
        <v>6909973419.684967</v>
      </c>
    </row>
    <row r="14" spans="1:2" x14ac:dyDescent="0.25">
      <c r="A14" s="19" t="s">
        <v>65</v>
      </c>
      <c r="B14" s="24">
        <f>B13/Assumptions!B31</f>
        <v>34.54986709842483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1524350152.3085203</v>
      </c>
    </row>
    <row r="18" spans="1:2" x14ac:dyDescent="0.25">
      <c r="A18" t="s">
        <v>60</v>
      </c>
      <c r="B18" s="18">
        <f>B17*Assumptions!B13</f>
        <v>18557861897.589413</v>
      </c>
    </row>
    <row r="19" spans="1:2" x14ac:dyDescent="0.25">
      <c r="A19" t="s">
        <v>61</v>
      </c>
      <c r="B19" s="18">
        <f>B18/(1+Assumptions!B26)^(5-0.5*Assumptions!B32)</f>
        <v>12751651721.61338</v>
      </c>
    </row>
    <row r="20" spans="1:2" x14ac:dyDescent="0.25">
      <c r="A20" t="s">
        <v>62</v>
      </c>
      <c r="B20" s="18">
        <f>Forecast!B17+B19</f>
        <v>14067027036.242453</v>
      </c>
    </row>
    <row r="21" spans="1:2" x14ac:dyDescent="0.25">
      <c r="A21" t="s">
        <v>63</v>
      </c>
      <c r="B21" s="18">
        <f>-Assumptions!B30</f>
        <v>-2394700000</v>
      </c>
    </row>
    <row r="22" spans="1:2" x14ac:dyDescent="0.25">
      <c r="A22" t="s">
        <v>64</v>
      </c>
      <c r="B22" s="18">
        <f>B20+B21</f>
        <v>11672327036.242453</v>
      </c>
    </row>
    <row r="23" spans="1:2" x14ac:dyDescent="0.25">
      <c r="A23" s="19" t="s">
        <v>65</v>
      </c>
      <c r="B23" s="25">
        <f>B22/Assumptions!B31</f>
        <v>58.361635181212264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34.54986709842483</v>
      </c>
    </row>
    <row r="29" spans="1:2" x14ac:dyDescent="0.25">
      <c r="A29" s="19" t="s">
        <v>73</v>
      </c>
      <c r="B29" s="12">
        <f>B28/B26-1</f>
        <v>-0.37511544405091635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0.06696</v>
      </c>
      <c r="B5" s="31">
        <v>50.7648397250715</v>
      </c>
      <c r="C5" s="31">
        <v>51.039961536256506</v>
      </c>
      <c r="D5" s="31">
        <v>51.31508334744148</v>
      </c>
      <c r="E5" s="31">
        <v>51.590205158626496</v>
      </c>
      <c r="F5" s="31">
        <v>51.86532696981148</v>
      </c>
    </row>
    <row r="6" spans="1:6" x14ac:dyDescent="0.25">
      <c r="A6" s="30">
        <v>0.07696</v>
      </c>
      <c r="B6" s="31">
        <v>41.35121013269626</v>
      </c>
      <c r="C6" s="31">
        <v>41.58074250754105</v>
      </c>
      <c r="D6" s="31">
        <v>41.810274882385855</v>
      </c>
      <c r="E6" s="31">
        <v>42.039807257230656</v>
      </c>
      <c r="F6" s="31">
        <v>42.26933963207545</v>
      </c>
    </row>
    <row r="7" spans="1:6" x14ac:dyDescent="0.25">
      <c r="A7" s="30">
        <v>0.08696</v>
      </c>
      <c r="B7" s="31">
        <v>34.16030916070629</v>
      </c>
      <c r="C7" s="31">
        <v>34.355170878505966</v>
      </c>
      <c r="D7" s="32">
        <v>34.55003259630562</v>
      </c>
      <c r="E7" s="31">
        <v>34.74489431410528</v>
      </c>
      <c r="F7" s="31">
        <v>34.93975603190494</v>
      </c>
    </row>
    <row r="8" spans="1:6" x14ac:dyDescent="0.25">
      <c r="A8" s="30">
        <v>0.09696</v>
      </c>
      <c r="B8" s="31">
        <v>28.501416977712417</v>
      </c>
      <c r="C8" s="31">
        <v>28.66912580406607</v>
      </c>
      <c r="D8" s="31">
        <v>28.836834630419713</v>
      </c>
      <c r="E8" s="31">
        <v>29.004543456773373</v>
      </c>
      <c r="F8" s="31">
        <v>29.17225228312701</v>
      </c>
    </row>
    <row r="9" spans="1:6" x14ac:dyDescent="0.25">
      <c r="A9" s="30">
        <v>0.10696</v>
      </c>
      <c r="B9" s="31">
        <v>23.94230320284979</v>
      </c>
      <c r="C9" s="31">
        <v>24.088249143049094</v>
      </c>
      <c r="D9" s="31">
        <v>24.234195083248387</v>
      </c>
      <c r="E9" s="31">
        <v>24.38014102344769</v>
      </c>
      <c r="F9" s="31">
        <v>24.526086963646986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4092400000</v>
      </c>
      <c r="C5" s="18">
        <v>3895400000</v>
      </c>
      <c r="D5" s="18">
        <v>3593200000</v>
      </c>
      <c r="E5" s="18">
        <v>3308400000</v>
      </c>
      <c r="F5" s="8" t="s">
        <v>84</v>
      </c>
    </row>
    <row r="6" spans="1:6" x14ac:dyDescent="0.25">
      <c r="A6" t="s">
        <v>44</v>
      </c>
      <c r="B6" s="18">
        <v>682900000</v>
      </c>
      <c r="C6" s="18">
        <v>705700000</v>
      </c>
      <c r="D6" s="18">
        <v>533100000</v>
      </c>
      <c r="E6" s="18">
        <v>507600000</v>
      </c>
      <c r="F6" s="8" t="s">
        <v>85</v>
      </c>
    </row>
    <row r="7" spans="1:6" x14ac:dyDescent="0.25">
      <c r="A7" t="s">
        <v>86</v>
      </c>
      <c r="B7" s="18">
        <v>377400000</v>
      </c>
      <c r="C7" s="18">
        <v>375100000</v>
      </c>
      <c r="D7" s="18">
        <v>367700000</v>
      </c>
      <c r="E7" s="18">
        <v>346100000</v>
      </c>
      <c r="F7" s="8" t="s">
        <v>87</v>
      </c>
    </row>
    <row r="8" spans="1:6" x14ac:dyDescent="0.25">
      <c r="A8" t="s">
        <v>88</v>
      </c>
      <c r="B8" s="18">
        <v>362400000</v>
      </c>
      <c r="C8" s="18">
        <v>421200000</v>
      </c>
      <c r="D8" s="18">
        <v>392500000</v>
      </c>
      <c r="E8" s="18">
        <v>242000000</v>
      </c>
      <c r="F8" s="8" t="s">
        <v>89</v>
      </c>
    </row>
    <row r="9" spans="1:6" x14ac:dyDescent="0.25">
      <c r="A9" t="s">
        <v>90</v>
      </c>
      <c r="B9" s="18">
        <v>284800000</v>
      </c>
      <c r="C9" s="18">
        <v>333700000</v>
      </c>
      <c r="D9" s="18">
        <v>218800000</v>
      </c>
      <c r="E9" s="18">
        <v>174000000</v>
      </c>
      <c r="F9" s="8" t="s">
        <v>91</v>
      </c>
    </row>
    <row r="10" spans="1:6" x14ac:dyDescent="0.25">
      <c r="A10" t="s">
        <v>92</v>
      </c>
      <c r="B10" s="18">
        <v>2505300000</v>
      </c>
      <c r="C10" s="18">
        <v>2583700000</v>
      </c>
      <c r="D10" s="18">
        <v>2569200000</v>
      </c>
      <c r="E10" s="18">
        <v>2763400000</v>
      </c>
      <c r="F10" s="8" t="s">
        <v>93</v>
      </c>
    </row>
    <row r="11" spans="1:6" x14ac:dyDescent="0.25">
      <c r="A11" t="s">
        <v>94</v>
      </c>
      <c r="B11" s="18">
        <v>110600000</v>
      </c>
      <c r="C11" s="18">
        <v>107600000</v>
      </c>
      <c r="D11" s="18">
        <v>120800000</v>
      </c>
      <c r="E11" s="18">
        <v>138200000</v>
      </c>
      <c r="F11" s="8" t="s">
        <v>95</v>
      </c>
    </row>
    <row r="12" spans="1:6" x14ac:dyDescent="0.25">
      <c r="A12" t="s">
        <v>32</v>
      </c>
      <c r="B12" s="34">
        <v>200000000</v>
      </c>
      <c r="C12" s="34">
        <v>200400000</v>
      </c>
      <c r="D12" s="34">
        <v>199200000</v>
      </c>
      <c r="E12" s="34">
        <v>198800000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