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<sst xmlns="http://schemas.openxmlformats.org/spreadsheetml/2006/main" count="119" uniqueCount="106">
  <si>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The Cooper Companies, Inc. (COO)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</si>
  <si>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</si>
  <si>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</si>
  <si>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</si>
  <si>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</si>
  <si>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</si>
  <si>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</si>
  <si>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</si>
  <si>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</si>
  <si>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</si>
  <si>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</si>
  <si>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</si>
  <si>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</si>
  <si>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</si>
  <si>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</si>
  <si>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</si>
  <si>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</si>
  <si>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</si>
  <si>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</si>
  <si>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</si>
  <si>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</si>
  <si>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</si>
  <si>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</si>
  <si>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</si>
  <si>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6.8x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</si>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</sst>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0.03576084204867569</v>
      </c>
    </row>
    <row r="7" spans="1:2" x14ac:dyDescent="0.25">
      <c r="A7" t="s">
        <v>4</v>
      </c>
      <c r="B7" s="5">
        <v>0.1624559768030929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0.09886436812606841</v>
      </c>
    </row>
    <row r="10" spans="1:3" x14ac:dyDescent="0.25">
      <c r="A10" t="s">
        <v>7</v>
      </c>
      <c r="B10" s="5">
        <v>0.09476579450883552</v>
      </c>
      <c r="C10" s="6" t="s">
        <v>8</v>
      </c>
    </row>
    <row r="11" spans="1:2" x14ac:dyDescent="0.25">
      <c r="A11" t="s">
        <v>9</v>
      </c>
      <c r="B11" s="5">
        <v>0.31238351927734936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12.938269667075357</v>
      </c>
    </row>
    <row r="14" spans="1:3" x14ac:dyDescent="0.25">
      <c r="A14" t="s">
        <v>12</v>
      </c>
      <c r="B14" s="5">
        <v>0.0784409449348962</v>
      </c>
      <c r="C14" s="6" t="s">
        <v>13</v>
      </c>
    </row>
    <row r="15" spans="1:3" x14ac:dyDescent="0.25">
      <c r="A15" t="s">
        <v>14</v>
      </c>
      <c r="B15" s="5">
        <v>0.04726381888904729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0.8827499999999999</v>
      </c>
      <c r="C19" s="6" t="s">
        <v>21</v>
      </c>
    </row>
    <row r="20" spans="1:2" x14ac:dyDescent="0.25">
      <c r="A20" t="s">
        <v>22</v>
      </c>
      <c r="B20" s="9">
        <f>B17+B19*B18</f>
        <v>0.08628032499999999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11323747328</v>
      </c>
    </row>
    <row r="23" spans="1:2" x14ac:dyDescent="0.25">
      <c r="A23" t="s">
        <v>26</v>
      </c>
      <c r="B23" s="10">
        <v>2505300000</v>
      </c>
    </row>
    <row r="24" spans="1:2" x14ac:dyDescent="0.25">
      <c r="A24" t="s">
        <v>27</v>
      </c>
      <c r="B24" s="9">
        <f>B22/(B22+B23)</f>
        <v>0.8188378461235388</v>
      </c>
    </row>
    <row r="25" spans="1:2" x14ac:dyDescent="0.25">
      <c r="A25" t="s">
        <v>28</v>
      </c>
      <c r="B25" s="9">
        <f>1-B24</f>
        <v>0.18116215387646117</v>
      </c>
    </row>
    <row r="26" spans="1:2" x14ac:dyDescent="0.25">
      <c r="A26" t="s">
        <v>29</v>
      </c>
      <c r="B26" s="11">
        <f>B24*B20+B25*B21*(1-B8)</f>
        <v>0.0784409449348962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4092400000</v>
      </c>
      <c r="C29" s="6" t="s">
        <v>32</v>
      </c>
    </row>
    <row r="30" spans="1:2" x14ac:dyDescent="0.25">
      <c r="A30" t="s">
        <v>33</v>
      </c>
      <c r="B30" s="10">
        <v>2394700000</v>
      </c>
    </row>
    <row r="31" spans="1:2" x14ac:dyDescent="0.25">
      <c r="A31" t="s">
        <v>34</v>
      </c>
      <c r="B31" s="12">
        <v>200000000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0.03576084204867569</v>
      </c>
      <c r="C5" s="5">
        <v>0.04016076521960077</v>
      </c>
      <c r="D5" s="5">
        <v>0.038265669567150676</v>
      </c>
      <c r="E5" s="5">
        <v>0.036370573914700575</v>
      </c>
      <c r="F5" s="5">
        <v>0.03447547826225048</v>
      </c>
      <c r="G5" s="5">
        <v>0.03258038260980038</v>
      </c>
      <c r="H5" s="5">
        <v>0.03068528695735029</v>
      </c>
      <c r="I5" s="5">
        <v>0.028790191304900195</v>
      </c>
      <c r="J5" s="5">
        <v>0.026895095652450098</v>
      </c>
      <c r="K5" s="5">
        <v>0.025</v>
      </c>
    </row>
    <row r="6" spans="1:11" x14ac:dyDescent="0.25">
      <c r="A6" t="s">
        <v>50</v>
      </c>
      <c r="B6" s="18">
        <f>Assumptions!B29*(1+B5)</f>
        <v>4238747670.0000005</v>
      </c>
      <c r="C6" s="18">
        <f>B6*(1+C5)</f>
        <v>4408979020</v>
      </c>
      <c r="D6" s="18">
        <f>C6*(1+D5)</f>
        <v>4577691554.307819</v>
      </c>
      <c r="E6" s="18">
        <f>D6*(1+E5)</f>
        <v>4744184823.342473</v>
      </c>
      <c r="F6" s="18">
        <f>E6*(1+F5)</f>
        <v>4907742864.091715</v>
      </c>
      <c r="G6" s="18">
        <f>F6*(1+G5)</f>
        <v>5067639004.354341</v>
      </c>
      <c r="H6" s="18">
        <f>G6*(1+H5)</f>
        <v>5223140961.399215</v>
      </c>
      <c r="I6" s="18">
        <f>H6*(1+I5)</f>
        <v>5373516188.890359</v>
      </c>
      <c r="J6" s="18">
        <f>I6*(1+J5)</f>
        <v>5518037420.780554</v>
      </c>
      <c r="K6" s="18">
        <f>J6*(1+K5)</f>
        <v>5655988356.300067</v>
      </c>
    </row>
    <row r="7" spans="1:11" x14ac:dyDescent="0.25">
      <c r="A7" t="s">
        <v>4</v>
      </c>
      <c r="B7" s="9">
        <f>Assumptions!B7</f>
        <v>0.1624559768030929</v>
      </c>
      <c r="C7" s="9">
        <f>Assumptions!B7</f>
        <v>0.1624559768030929</v>
      </c>
      <c r="D7" s="9">
        <f>Assumptions!B7</f>
        <v>0.1624559768030929</v>
      </c>
      <c r="E7" s="9">
        <f>Assumptions!B7</f>
        <v>0.1624559768030929</v>
      </c>
      <c r="F7" s="9">
        <f>Assumptions!B7</f>
        <v>0.1624559768030929</v>
      </c>
      <c r="G7" s="9">
        <f>Assumptions!B7</f>
        <v>0.1624559768030929</v>
      </c>
      <c r="H7" s="9">
        <f>Assumptions!B7</f>
        <v>0.1624559768030929</v>
      </c>
      <c r="I7" s="9">
        <f>Assumptions!B7</f>
        <v>0.1624559768030929</v>
      </c>
      <c r="J7" s="9">
        <f>Assumptions!B7</f>
        <v>0.1624559768030929</v>
      </c>
      <c r="K7" s="9">
        <f>Assumptions!B7</f>
        <v>0.1624559768030929</v>
      </c>
    </row>
    <row r="8" spans="1:11" x14ac:dyDescent="0.25">
      <c r="A8" t="s">
        <v>51</v>
      </c>
      <c r="B8" s="18">
        <f>B6*B7</f>
        <v>688609893.1516842</v>
      </c>
      <c r="C8" s="18">
        <f>C6*C7</f>
        <v>716264993.3984432</v>
      </c>
      <c r="D8" s="18">
        <f>D6*D7</f>
        <v>743673352.9583454</v>
      </c>
      <c r="E8" s="18">
        <f>E6*E7</f>
        <v>770721179.6105102</v>
      </c>
      <c r="F8" s="18">
        <f>F6*F7</f>
        <v>797292160.8844284</v>
      </c>
      <c r="G8" s="18">
        <f>G6*G7</f>
        <v>823268244.5378375</v>
      </c>
      <c r="H8" s="18">
        <f>H6*H7</f>
        <v>848530466.8643552</v>
      </c>
      <c r="I8" s="18">
        <f>I6*I7</f>
        <v>872959821.3334163</v>
      </c>
      <c r="J8" s="18">
        <f>J6*J7</f>
        <v>896438159.2289243</v>
      </c>
      <c r="K8" s="18">
        <f>K6*K7</f>
        <v>918849113.2096472</v>
      </c>
    </row>
    <row r="9" spans="1:11" x14ac:dyDescent="0.25">
      <c r="A9" t="s">
        <v>52</v>
      </c>
      <c r="B9" s="18">
        <f>B8*(1-Assumptions!B8)</f>
        <v>544001815.5898305</v>
      </c>
      <c r="C9" s="18">
        <f>C8*(1-Assumptions!B8)</f>
        <v>565849344.7847701</v>
      </c>
      <c r="D9" s="18">
        <f>D8*(1-Assumptions!B8)</f>
        <v>587501948.8370929</v>
      </c>
      <c r="E9" s="18">
        <f>E8*(1-Assumptions!B8)</f>
        <v>608869731.8923031</v>
      </c>
      <c r="F9" s="18">
        <f>F8*(1-Assumptions!B8)</f>
        <v>629860807.0986985</v>
      </c>
      <c r="G9" s="18">
        <f>G8*(1-Assumptions!B8)</f>
        <v>650381913.1848917</v>
      </c>
      <c r="H9" s="18">
        <f>H8*(1-Assumptions!B8)</f>
        <v>670339068.8228407</v>
      </c>
      <c r="I9" s="18">
        <f>I8*(1-Assumptions!B8)</f>
        <v>689638258.8533989</v>
      </c>
      <c r="J9" s="18">
        <f>J8*(1-Assumptions!B8)</f>
        <v>708186145.7908502</v>
      </c>
      <c r="K9" s="18">
        <f>K8*(1-Assumptions!B8)</f>
        <v>725890799.4356213</v>
      </c>
    </row>
    <row r="10" spans="1:11" x14ac:dyDescent="0.25">
      <c r="A10" t="s">
        <v>53</v>
      </c>
      <c r="B10" s="18">
        <f>B6*Assumptions!B9</f>
        <v>419061110.0403948</v>
      </c>
      <c r="C10" s="18">
        <f>C6*Assumptions!B9</f>
        <v>435890924.8933923</v>
      </c>
      <c r="D10" s="18">
        <f>D6*Assumptions!B9</f>
        <v>452570582.9926826</v>
      </c>
      <c r="E10" s="18">
        <f>E6*Assumptions!B9</f>
        <v>469030834.8330371</v>
      </c>
      <c r="F10" s="18">
        <f>F6*Assumptions!B9</f>
        <v>485200897.18364865</v>
      </c>
      <c r="G10" s="18">
        <f>G6*Assumptions!B9</f>
        <v>501008928.0565103</v>
      </c>
      <c r="H10" s="18">
        <f>H6*Assumptions!B9</f>
        <v>516382530.78211886</v>
      </c>
      <c r="I10" s="18">
        <f>I6*Assumptions!B9</f>
        <v>531249282.6298446</v>
      </c>
      <c r="J10" s="18">
        <f>J6*Assumptions!B9</f>
        <v>545537282.9014697</v>
      </c>
      <c r="K10" s="18">
        <f>K6*Assumptions!B9</f>
        <v>559175714.9740064</v>
      </c>
    </row>
    <row r="11" spans="1:11" x14ac:dyDescent="0.25">
      <c r="A11" t="s">
        <v>54</v>
      </c>
      <c r="B11" s="18">
        <f>-B6*B19</f>
        <v>-401688290.6700254</v>
      </c>
      <c r="C11" s="18">
        <f>-C6*C19</f>
        <v>-420952516.7019906</v>
      </c>
      <c r="D11" s="18">
        <f>-D6*D19</f>
        <v>-440312516.0587722</v>
      </c>
      <c r="E11" s="18">
        <f>-E6*E19</f>
        <v>-459697180.41407895</v>
      </c>
      <c r="F11" s="18">
        <f>-F6*F19</f>
        <v>-479031896.83264333</v>
      </c>
      <c r="G11" s="18">
        <f>-G6*G19</f>
        <v>-498238965.00928587</v>
      </c>
      <c r="H11" s="18">
        <f>-H6*H19</f>
        <v>-517238064.1409869</v>
      </c>
      <c r="I11" s="18">
        <f>-I6*I19</f>
        <v>-535946766.29303175</v>
      </c>
      <c r="J11" s="18">
        <f>-J6*J19</f>
        <v>-554281092.3410112</v>
      </c>
      <c r="K11" s="18">
        <f>-K6*K19</f>
        <v>-572156105.8160411</v>
      </c>
    </row>
    <row r="12" spans="1:11" x14ac:dyDescent="0.25">
      <c r="A12" t="s">
        <v>55</v>
      </c>
      <c r="B12" s="18">
        <f>-(B6-Assumptions!B29)*Assumptions!B11</f>
        <v>-45716600.19264031</v>
      </c>
      <c r="C12" s="18">
        <f>-(C6-B6)*Assumptions!B11</f>
        <v>-53177468.20433406</v>
      </c>
      <c r="D12" s="18">
        <f>-(D6-C6)*Assumptions!B11</f>
        <v>-52703015.21327715</v>
      </c>
      <c r="E12" s="18">
        <f>-(E6-D6)*Assumptions!B11</f>
        <v>-52009753.317035645</v>
      </c>
      <c r="F12" s="18">
        <f>-(F6-E6)*Assumptions!B11</f>
        <v>-51092836.37535628</v>
      </c>
      <c r="G12" s="18">
        <f>-(G6-F6)*Assumptions!B11</f>
        <v>-49948919.01410369</v>
      </c>
      <c r="H12" s="18">
        <f>-(H6-G6)*Assumptions!B11</f>
        <v>-48576248.59619301</v>
      </c>
      <c r="I12" s="18">
        <f>-(I6-H6)*Assumptions!B11</f>
        <v>-46974742.775815636</v>
      </c>
      <c r="J12" s="18">
        <f>-(J6-I6)*Assumptions!B11</f>
        <v>-45146051.02815697</v>
      </c>
      <c r="K12" s="18">
        <f>-(K6-J6)*Assumptions!B11</f>
        <v>-43093598.72518821</v>
      </c>
    </row>
    <row r="13" spans="1:11" x14ac:dyDescent="0.25">
      <c r="A13" s="19" t="s">
        <v>56</v>
      </c>
      <c r="B13" s="20">
        <f>B9+B10+B11+B12</f>
        <v>515658034.7675595</v>
      </c>
      <c r="C13" s="20">
        <f>C9+C10+C11+C12</f>
        <v>527610284.7718378</v>
      </c>
      <c r="D13" s="20">
        <f>D9+D10+D11+D12</f>
        <v>547057000.5577261</v>
      </c>
      <c r="E13" s="20">
        <f>E9+E10+E11+E12</f>
        <v>566193632.9942255</v>
      </c>
      <c r="F13" s="20">
        <f>F9+F10+F11+F12</f>
        <v>584936971.0743476</v>
      </c>
      <c r="G13" s="20">
        <f>G9+G10+G11+G12</f>
        <v>603202957.2180126</v>
      </c>
      <c r="H13" s="20">
        <f>H9+H10+H11+H12</f>
        <v>620907286.8677796</v>
      </c>
      <c r="I13" s="20">
        <f>I9+I10+I11+I12</f>
        <v>637966032.4143962</v>
      </c>
      <c r="J13" s="20">
        <f>J9+J10+J11+J12</f>
        <v>654296285.3231517</v>
      </c>
      <c r="K13" s="20">
        <f>K9+K10+K11+K12</f>
        <v>669816809.8683983</v>
      </c>
    </row>
    <row r="14" spans="1:11" x14ac:dyDescent="0.25">
      <c r="A14" t="s">
        <v>57</v>
      </c>
      <c r="B14" s="21">
        <f>1/(1+Assumptions!$B$26)^(1-0.5*Assumptions!$B$32)</f>
        <v>0.9629457392169833</v>
      </c>
      <c r="C14" s="21">
        <f>1/(1+Assumptions!$B$26)^(2-0.5*Assumptions!$B$32)</f>
        <v>0.892905396201472</v>
      </c>
      <c r="D14" s="21">
        <f>1/(1+Assumptions!$B$26)^(3-0.5*Assumptions!$B$32)</f>
        <v>0.8279594727881695</v>
      </c>
      <c r="E14" s="21">
        <f>1/(1+Assumptions!$B$26)^(4-0.5*Assumptions!$B$32)</f>
        <v>0.7677374238031663</v>
      </c>
      <c r="F14" s="21">
        <f>1/(1+Assumptions!$B$26)^(5-0.5*Assumptions!$B$32)</f>
        <v>0.7118956558622813</v>
      </c>
      <c r="G14" s="21">
        <f>1/(1+Assumptions!$B$26)^(6-0.5*Assumptions!$B$32)</f>
        <v>0.6601155670190707</v>
      </c>
      <c r="H14" s="21">
        <f>1/(1+Assumptions!$B$26)^(7-0.5*Assumptions!$B$32)</f>
        <v>0.612101729000025</v>
      </c>
      <c r="I14" s="21">
        <f>1/(1+Assumptions!$B$26)^(8-0.5*Assumptions!$B$32)</f>
        <v>0.5675802016558047</v>
      </c>
      <c r="J14" s="21">
        <f>1/(1+Assumptions!$B$26)^(9-0.5*Assumptions!$B$32)</f>
        <v>0.5262969700117133</v>
      </c>
      <c r="K14" s="21">
        <f>1/(1+Assumptions!$B$26)^(10-0.5*Assumptions!$B$32)</f>
        <v>0.48801649500009014</v>
      </c>
    </row>
    <row r="15" spans="1:11" x14ac:dyDescent="0.25">
      <c r="A15" s="19" t="s">
        <v>58</v>
      </c>
      <c r="B15" s="20">
        <f>B13*B14</f>
        <v>496550707.4724245</v>
      </c>
      <c r="C15" s="20">
        <f>C13*C14</f>
        <v>471106070.3641693</v>
      </c>
      <c r="D15" s="20">
        <f>D13*D14</f>
        <v>452941025.76685226</v>
      </c>
      <c r="E15" s="20">
        <f>E13*E14</f>
        <v>434688041.1687421</v>
      </c>
      <c r="F15" s="20">
        <f>F13*F14</f>
        <v>416414088.661069</v>
      </c>
      <c r="G15" s="20">
        <f>G13*G14</f>
        <v>398183662.13154864</v>
      </c>
      <c r="H15" s="20">
        <f>H13*H14</f>
        <v>380058423.8404824</v>
      </c>
      <c r="I15" s="20">
        <f>I13*I14</f>
        <v>362096889.3273166</v>
      </c>
      <c r="J15" s="20">
        <f>J13*J14</f>
        <v>344354152.45549417</v>
      </c>
      <c r="K15" s="20">
        <f>K13*K14</f>
        <v>326881651.8441175</v>
      </c>
    </row>
    <row r="17" spans="1:2" x14ac:dyDescent="0.25">
      <c r="A17" s="22" t="s">
        <v>59</v>
      </c>
      <c r="B17" s="23">
        <f>SUM(B15:K15)</f>
        <v>4083274713.0322165</v>
      </c>
    </row>
    <row r="19" spans="1:11" x14ac:dyDescent="0.25">
      <c r="A19" t="s">
        <v>7</v>
      </c>
      <c r="B19" s="9">
        <f>Assumptions!$B$10+($B$20-Assumptions!$B$10)*0/9</f>
        <v>0.09476579450883552</v>
      </c>
      <c r="C19" s="9">
        <f>Assumptions!$B$10+($B$20-Assumptions!$B$10)*1/9</f>
        <v>0.09547618956508226</v>
      </c>
      <c r="D19" s="9">
        <f>Assumptions!$B$10+($B$20-Assumptions!$B$10)*2/9</f>
        <v>0.09618658462132901</v>
      </c>
      <c r="E19" s="9">
        <f>Assumptions!$B$10+($B$20-Assumptions!$B$10)*3/9</f>
        <v>0.09689697967757575</v>
      </c>
      <c r="F19" s="9">
        <f>Assumptions!$B$10+($B$20-Assumptions!$B$10)*4/9</f>
        <v>0.0976073747338225</v>
      </c>
      <c r="G19" s="9">
        <f>Assumptions!$B$10+($B$20-Assumptions!$B$10)*5/9</f>
        <v>0.09831776979006926</v>
      </c>
      <c r="H19" s="9">
        <f>Assumptions!$B$10+($B$20-Assumptions!$B$10)*6/9</f>
        <v>0.099028164846316</v>
      </c>
      <c r="I19" s="9">
        <f>Assumptions!$B$10+($B$20-Assumptions!$B$10)*7/9</f>
        <v>0.09973855990256275</v>
      </c>
      <c r="J19" s="9">
        <f>Assumptions!$B$10+($B$20-Assumptions!$B$10)*8/9</f>
        <v>0.1004489549588095</v>
      </c>
      <c r="K19" s="9">
        <f>Assumptions!$B$10+($B$20-Assumptions!$B$10)*9/9</f>
        <v>0.10115935001505624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0.10115935001505624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669816809.8683983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956453962.9096123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0.3187111019729467</v>
      </c>
    </row>
    <row r="7" spans="1:2" x14ac:dyDescent="0.25">
      <c r="A7" t="s">
        <v>66</v>
      </c>
      <c r="B7" s="18">
        <f>-MAX(B5,0)*B6</f>
        <v>-304832496.50531447</v>
      </c>
    </row>
    <row r="8" spans="1:2" x14ac:dyDescent="0.25">
      <c r="A8" t="s">
        <v>67</v>
      </c>
      <c r="B8" s="18">
        <f>IF(OR(Assumptions!$B$33=0,Assumptions!B12&lt;=0),B5,MAX(B5+B7,0))</f>
        <v>651621466.4042978</v>
      </c>
    </row>
    <row r="9" spans="1:2" x14ac:dyDescent="0.25">
      <c r="A9" t="s">
        <v>68</v>
      </c>
      <c r="B9" s="18">
        <f>B8*(1+Assumptions!B12)/(Assumptions!B26-Assumptions!B12)</f>
        <v>12498132356.71789</v>
      </c>
    </row>
    <row r="10" spans="1:2" x14ac:dyDescent="0.25">
      <c r="A10" t="s">
        <v>69</v>
      </c>
      <c r="B10" s="18">
        <f>B9/(1+Assumptions!B26)^(10-0.5*Assumptions!B32)</f>
        <v>6099294746.772681</v>
      </c>
    </row>
    <row r="11" spans="1:2" x14ac:dyDescent="0.25">
      <c r="A11" t="s">
        <v>70</v>
      </c>
      <c r="B11" s="18">
        <f>Forecast!B17+B10</f>
        <v>10182569459.804897</v>
      </c>
    </row>
    <row r="12" spans="1:2" x14ac:dyDescent="0.25">
      <c r="A12" t="s">
        <v>71</v>
      </c>
      <c r="B12" s="18">
        <f>-Assumptions!B30</f>
        <v>-2394700000</v>
      </c>
    </row>
    <row r="13" spans="1:2" x14ac:dyDescent="0.25">
      <c r="A13" t="s">
        <v>72</v>
      </c>
      <c r="B13" s="18">
        <f>B11+B12</f>
        <v>7787869459.804897</v>
      </c>
    </row>
    <row r="14" spans="1:2" x14ac:dyDescent="0.25">
      <c r="A14" s="19" t="s">
        <v>73</v>
      </c>
      <c r="B14" s="24">
        <f>B13/Assumptions!B31</f>
        <v>38.93934729902448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1478024828.1836536</v>
      </c>
    </row>
    <row r="18" spans="1:2" x14ac:dyDescent="0.25">
      <c r="A18" t="s">
        <v>68</v>
      </c>
      <c r="B18" s="18">
        <f>B17*Assumptions!B13</f>
        <v>19123083801.672832</v>
      </c>
    </row>
    <row r="19" spans="1:2" x14ac:dyDescent="0.25">
      <c r="A19" t="s">
        <v>69</v>
      </c>
      <c r="B19" s="18">
        <f>B18/(1+Assumptions!B26)^(10-0.5*Assumptions!B32)</f>
        <v>9332380330.485374</v>
      </c>
    </row>
    <row r="20" spans="1:2" x14ac:dyDescent="0.25">
      <c r="A20" t="s">
        <v>70</v>
      </c>
      <c r="B20" s="18">
        <f>Forecast!B17+B19</f>
        <v>13415655043.517591</v>
      </c>
    </row>
    <row r="21" spans="1:2" x14ac:dyDescent="0.25">
      <c r="A21" t="s">
        <v>71</v>
      </c>
      <c r="B21" s="18">
        <f>-Assumptions!B30</f>
        <v>-2394700000</v>
      </c>
    </row>
    <row r="22" spans="1:2" x14ac:dyDescent="0.25">
      <c r="A22" t="s">
        <v>72</v>
      </c>
      <c r="B22" s="18">
        <f>B20+B21</f>
        <v>11020955043.517591</v>
      </c>
    </row>
    <row r="23" spans="1:2" x14ac:dyDescent="0.25">
      <c r="A23" s="19" t="s">
        <v>73</v>
      </c>
      <c r="B23" s="25">
        <f>B22/Assumptions!B31</f>
        <v>55.10477521758796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59.55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38.93934729902448</v>
      </c>
    </row>
    <row r="29" spans="1:2" x14ac:dyDescent="0.25">
      <c r="A29" s="19" t="s">
        <v>81</v>
      </c>
      <c r="B29" s="11">
        <f>B28/B26-1</f>
        <v>-0.346106678437876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0.058441</v>
      </c>
      <c r="B5" s="31">
        <v>59.680209233037864</v>
      </c>
      <c r="C5" s="31">
        <v>58.62827129124956</v>
      </c>
      <c r="D5" s="31">
        <v>57.57633334946126</v>
      </c>
      <c r="E5" s="31">
        <v>56.524395407672976</v>
      </c>
      <c r="F5" s="31">
        <v>55.47245746588467</v>
      </c>
    </row>
    <row r="6" spans="1:6" x14ac:dyDescent="0.25">
      <c r="A6" s="30">
        <v>0.068441</v>
      </c>
      <c r="B6" s="31">
        <v>48.57375714879084</v>
      </c>
      <c r="C6" s="31">
        <v>47.725165054227695</v>
      </c>
      <c r="D6" s="31">
        <v>46.876572959664536</v>
      </c>
      <c r="E6" s="31">
        <v>46.027980865101384</v>
      </c>
      <c r="F6" s="31">
        <v>45.17938877053823</v>
      </c>
    </row>
    <row r="7" spans="1:6" x14ac:dyDescent="0.25">
      <c r="A7" s="30">
        <v>0.078441</v>
      </c>
      <c r="B7" s="31">
        <v>40.339515835459125</v>
      </c>
      <c r="C7" s="31">
        <v>39.63941254493873</v>
      </c>
      <c r="D7" s="32">
        <v>38.93930925441832</v>
      </c>
      <c r="E7" s="31">
        <v>38.23920596389792</v>
      </c>
      <c r="F7" s="31">
        <v>37.53910267337752</v>
      </c>
    </row>
    <row r="8" spans="1:6" x14ac:dyDescent="0.25">
      <c r="A8" s="30">
        <v>0.088441</v>
      </c>
      <c r="B8" s="31">
        <v>34.000615990495106</v>
      </c>
      <c r="C8" s="31">
        <v>33.41296868024861</v>
      </c>
      <c r="D8" s="31">
        <v>32.82532137000211</v>
      </c>
      <c r="E8" s="31">
        <v>32.23767405975561</v>
      </c>
      <c r="F8" s="31">
        <v>31.650026749509106</v>
      </c>
    </row>
    <row r="9" spans="1:6" x14ac:dyDescent="0.25">
      <c r="A9" s="30">
        <v>0.098441</v>
      </c>
      <c r="B9" s="31">
        <v>28.977315946980497</v>
      </c>
      <c r="C9" s="31">
        <v>28.477249373937262</v>
      </c>
      <c r="D9" s="31">
        <v>27.977182800894013</v>
      </c>
      <c r="E9" s="31">
        <v>27.47711622785077</v>
      </c>
      <c r="F9" s="31">
        <v>26.97704965480753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4092400000</v>
      </c>
      <c r="C5" s="18">
        <v>3895400000</v>
      </c>
      <c r="D5" s="18">
        <v>3593200000</v>
      </c>
      <c r="E5" s="18">
        <v>3308400000</v>
      </c>
      <c r="F5" s="6" t="s">
        <v>91</v>
      </c>
    </row>
    <row r="6" spans="1:6" x14ac:dyDescent="0.25">
      <c r="A6" t="s">
        <v>51</v>
      </c>
      <c r="B6" s="18">
        <v>682900000</v>
      </c>
      <c r="C6" s="18">
        <v>705700000</v>
      </c>
      <c r="D6" s="18">
        <v>533100000</v>
      </c>
      <c r="E6" s="18">
        <v>507600000</v>
      </c>
      <c r="F6" s="6" t="s">
        <v>92</v>
      </c>
    </row>
    <row r="7" spans="1:6" x14ac:dyDescent="0.25">
      <c r="A7" t="s">
        <v>93</v>
      </c>
      <c r="B7" s="18">
        <v>377400000</v>
      </c>
      <c r="C7" s="18">
        <v>375100000</v>
      </c>
      <c r="D7" s="18">
        <v>367700000</v>
      </c>
      <c r="E7" s="18">
        <v>346100000</v>
      </c>
      <c r="F7" s="6" t="s">
        <v>94</v>
      </c>
    </row>
    <row r="8" spans="1:6" x14ac:dyDescent="0.25">
      <c r="A8" t="s">
        <v>95</v>
      </c>
      <c r="B8" s="18">
        <v>362400000</v>
      </c>
      <c r="C8" s="18">
        <v>421200000</v>
      </c>
      <c r="D8" s="18">
        <v>392500000</v>
      </c>
      <c r="E8" s="18">
        <v>242000000</v>
      </c>
      <c r="F8" s="6" t="s">
        <v>96</v>
      </c>
    </row>
    <row r="9" spans="1:6" x14ac:dyDescent="0.25">
      <c r="A9" t="s">
        <v>97</v>
      </c>
      <c r="B9" s="18">
        <v>284800000</v>
      </c>
      <c r="C9" s="18">
        <v>333700000</v>
      </c>
      <c r="D9" s="18">
        <v>218800000</v>
      </c>
      <c r="E9" s="18">
        <v>174000000</v>
      </c>
      <c r="F9" s="6" t="s">
        <v>98</v>
      </c>
    </row>
    <row r="10" spans="1:6" x14ac:dyDescent="0.25">
      <c r="A10" t="s">
        <v>99</v>
      </c>
      <c r="B10" s="18">
        <v>2505300000</v>
      </c>
      <c r="C10" s="18">
        <v>2583700000</v>
      </c>
      <c r="D10" s="18">
        <v>2569200000</v>
      </c>
      <c r="E10" s="18">
        <v>2763400000</v>
      </c>
      <c r="F10" s="6" t="s">
        <v>100</v>
      </c>
    </row>
    <row r="11" spans="1:6" x14ac:dyDescent="0.25">
      <c r="A11" t="s">
        <v>101</v>
      </c>
      <c r="B11" s="18">
        <v>110600000</v>
      </c>
      <c r="C11" s="18">
        <v>107600000</v>
      </c>
      <c r="D11" s="18">
        <v>120800000</v>
      </c>
      <c r="E11" s="18">
        <v>138200000</v>
      </c>
      <c r="F11" s="6" t="s">
        <v>102</v>
      </c>
    </row>
    <row r="12" spans="1:6" x14ac:dyDescent="0.25">
      <c r="A12" t="s">
        <v>34</v>
      </c>
      <c r="B12" s="34">
        <v>200000000</v>
      </c>
      <c r="C12" s="34">
        <v>200400000</v>
      </c>
      <c r="D12" s="34">
        <v>199200000</v>
      </c>
      <c r="E12" s="34">
        <v>198800000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