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<sst xmlns="http://schemas.openxmlformats.org/spreadsheetml/2006/main" count="119" uniqueCount="106">
  <si>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ConocoPhillips (COP)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</si>
  <si>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</si>
  <si>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</si>
  <si>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</si>
  <si>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</si>
  <si>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</si>
  <si>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</si>
  <si>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</si>
  <si>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</si>
  <si>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</si>
  <si>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</si>
  <si>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</si>
  <si>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</si>
  <si>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</si>
  <si>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</si>
  <si>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</si>
  <si>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</si>
  <si>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</si>
  <si>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</si>
  <si>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</si>
  <si>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</si>
  <si>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</si>
  <si>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</si>
  <si>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</si>
  <si>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9.2x interest cover. Book interest / average debt was lower, at 5.2%.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</si>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</sst>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0.2443829170059717</v>
      </c>
    </row>
    <row r="7" spans="1:2" x14ac:dyDescent="0.25">
      <c r="A7" t="s">
        <v>4</v>
      </c>
      <c r="B7" s="5">
        <v>0.2544874280087013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0.15333699586307145</v>
      </c>
    </row>
    <row r="10" spans="1:3" x14ac:dyDescent="0.25">
      <c r="A10" t="s">
        <v>7</v>
      </c>
      <c r="B10" s="5">
        <v>0.191023746173627</v>
      </c>
      <c r="C10" s="6" t="s">
        <v>8</v>
      </c>
    </row>
    <row r="11" spans="1:2" x14ac:dyDescent="0.25">
      <c r="A11" t="s">
        <v>9</v>
      </c>
      <c r="B11" s="5">
        <v>0.029287382834589093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8.443542512914807</v>
      </c>
    </row>
    <row r="14" spans="1:3" x14ac:dyDescent="0.25">
      <c r="A14" t="s">
        <v>12</v>
      </c>
      <c r="B14" s="5">
        <v>0.14573235247032823</v>
      </c>
      <c r="C14" s="6" t="s">
        <v>13</v>
      </c>
    </row>
    <row r="15" spans="1:3" x14ac:dyDescent="0.25">
      <c r="A15" t="s">
        <v>14</v>
      </c>
      <c r="B15" s="5">
        <v>0.15333699586307145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0.43854</v>
      </c>
      <c r="C19" s="6" t="s">
        <v>21</v>
      </c>
    </row>
    <row r="20" spans="1:2" x14ac:dyDescent="0.25">
      <c r="A20" t="s">
        <v>22</v>
      </c>
      <c r="B20" s="9">
        <f>B17+B19*B18</f>
        <v>0.067490242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176404398080</v>
      </c>
    </row>
    <row r="23" spans="1:2" x14ac:dyDescent="0.25">
      <c r="A23" t="s">
        <v>26</v>
      </c>
      <c r="B23" s="10">
        <v>23444000000</v>
      </c>
    </row>
    <row r="24" spans="1:2" x14ac:dyDescent="0.25">
      <c r="A24" t="s">
        <v>27</v>
      </c>
      <c r="B24" s="9">
        <f>B22/(B22+B23)</f>
        <v>0.8826910787114977</v>
      </c>
    </row>
    <row r="25" spans="1:2" x14ac:dyDescent="0.25">
      <c r="A25" t="s">
        <v>28</v>
      </c>
      <c r="B25" s="9">
        <f>1-B24</f>
        <v>0.11730892128850234</v>
      </c>
    </row>
    <row r="26" spans="1:2" x14ac:dyDescent="0.25">
      <c r="A26" t="s">
        <v>29</v>
      </c>
      <c r="B26" s="11">
        <f>B24*B20+B25*B21*(1-B8)</f>
        <v>0.06447919860496056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58944000000</v>
      </c>
      <c r="C29" s="6" t="s">
        <v>32</v>
      </c>
    </row>
    <row r="30" spans="1:2" x14ac:dyDescent="0.25">
      <c r="A30" t="s">
        <v>33</v>
      </c>
      <c r="B30" s="10">
        <v>16463000000</v>
      </c>
    </row>
    <row r="31" spans="1:2" x14ac:dyDescent="0.25">
      <c r="A31" t="s">
        <v>34</v>
      </c>
      <c r="B31" s="12">
        <v>1253446000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0.2443829170059717</v>
      </c>
      <c r="C5" s="5">
        <v>-0.04024532599624708</v>
      </c>
      <c r="D5" s="5">
        <v>-0.032089660246716195</v>
      </c>
      <c r="E5" s="5">
        <v>-0.023933994497185314</v>
      </c>
      <c r="F5" s="5">
        <v>-0.01577832874765443</v>
      </c>
      <c r="G5" s="5">
        <v>-0.007622662998123544</v>
      </c>
      <c r="H5" s="5">
        <v>0.0005330027514073438</v>
      </c>
      <c r="I5" s="5">
        <v>0.008688668500938225</v>
      </c>
      <c r="J5" s="5">
        <v>0.016844334250469106</v>
      </c>
      <c r="K5" s="5">
        <v>0.024999999999999994</v>
      </c>
    </row>
    <row r="6" spans="1:11" x14ac:dyDescent="0.25">
      <c r="A6" t="s">
        <v>50</v>
      </c>
      <c r="B6" s="18">
        <f>Assumptions!B29*(1+B5)</f>
        <v>73348906660</v>
      </c>
      <c r="C6" s="18">
        <f>B6*(1+C5)</f>
        <v>70396956000</v>
      </c>
      <c r="D6" s="18">
        <f>C6*(1+D5)</f>
        <v>68137941599.55697</v>
      </c>
      <c r="E6" s="18">
        <f>D6*(1+E5)</f>
        <v>66507128480.26363</v>
      </c>
      <c r="F6" s="18">
        <f>E6*(1+F5)</f>
        <v>65457757143.03954</v>
      </c>
      <c r="G6" s="18">
        <f>F6*(1+G5)</f>
        <v>64958794719.725136</v>
      </c>
      <c r="H6" s="18">
        <f>G6*(1+H5)</f>
        <v>64993417936.038864</v>
      </c>
      <c r="I6" s="18">
        <f>H6*(1+I5)</f>
        <v>65558124199.228035</v>
      </c>
      <c r="J6" s="18">
        <f>I6*(1+J5)</f>
        <v>66662407156.0736</v>
      </c>
      <c r="K6" s="18">
        <f>J6*(1+K5)</f>
        <v>68328967334.97543</v>
      </c>
    </row>
    <row r="7" spans="1:11" x14ac:dyDescent="0.25">
      <c r="A7" t="s">
        <v>4</v>
      </c>
      <c r="B7" s="9">
        <f>Assumptions!B7</f>
        <v>0.2544874280087013</v>
      </c>
      <c r="C7" s="9">
        <f>Assumptions!B7</f>
        <v>0.2544874280087013</v>
      </c>
      <c r="D7" s="9">
        <f>Assumptions!B7</f>
        <v>0.2544874280087013</v>
      </c>
      <c r="E7" s="9">
        <f>Assumptions!B7</f>
        <v>0.2544874280087013</v>
      </c>
      <c r="F7" s="9">
        <f>Assumptions!B7</f>
        <v>0.2544874280087013</v>
      </c>
      <c r="G7" s="9">
        <f>Assumptions!B7</f>
        <v>0.2544874280087013</v>
      </c>
      <c r="H7" s="9">
        <f>Assumptions!B7</f>
        <v>0.2544874280087013</v>
      </c>
      <c r="I7" s="9">
        <f>Assumptions!B7</f>
        <v>0.2544874280087013</v>
      </c>
      <c r="J7" s="9">
        <f>Assumptions!B7</f>
        <v>0.2544874280087013</v>
      </c>
      <c r="K7" s="9">
        <f>Assumptions!B7</f>
        <v>0.2544874280087013</v>
      </c>
    </row>
    <row r="8" spans="1:11" x14ac:dyDescent="0.25">
      <c r="A8" t="s">
        <v>51</v>
      </c>
      <c r="B8" s="18">
        <f>B6*B7</f>
        <v>18666374603.153698</v>
      </c>
      <c r="C8" s="18">
        <f>C6*C7</f>
        <v>17915140272.08171</v>
      </c>
      <c r="D8" s="18">
        <f>D6*D7</f>
        <v>17340249507.478348</v>
      </c>
      <c r="E8" s="18">
        <f>E6*E7</f>
        <v>16925228071.186539</v>
      </c>
      <c r="F8" s="18">
        <f>F6*F7</f>
        <v>16658176258.550327</v>
      </c>
      <c r="G8" s="18">
        <f>G6*G7</f>
        <v>16531196594.768055</v>
      </c>
      <c r="H8" s="18">
        <f>H6*H7</f>
        <v>16540007768.037125</v>
      </c>
      <c r="I8" s="18">
        <f>I6*I7</f>
        <v>16683718412.536541</v>
      </c>
      <c r="J8" s="18">
        <f>J6*J7</f>
        <v>16964744542.018013</v>
      </c>
      <c r="K8" s="18">
        <f>K6*K7</f>
        <v>17388863155.568462</v>
      </c>
    </row>
    <row r="9" spans="1:11" x14ac:dyDescent="0.25">
      <c r="A9" t="s">
        <v>52</v>
      </c>
      <c r="B9" s="18">
        <f>B8*(1-Assumptions!B8)</f>
        <v>14746435936.491423</v>
      </c>
      <c r="C9" s="18">
        <f>C8*(1-Assumptions!B8)</f>
        <v>14152960814.944551</v>
      </c>
      <c r="D9" s="18">
        <f>D8*(1-Assumptions!B8)</f>
        <v>13698797110.907896</v>
      </c>
      <c r="E9" s="18">
        <f>E8*(1-Assumptions!B8)</f>
        <v>13370930176.237366</v>
      </c>
      <c r="F9" s="18">
        <f>F8*(1-Assumptions!B8)</f>
        <v>13159959244.254759</v>
      </c>
      <c r="G9" s="18">
        <f>G8*(1-Assumptions!B8)</f>
        <v>13059645309.866764</v>
      </c>
      <c r="H9" s="18">
        <f>H8*(1-Assumptions!B8)</f>
        <v>13066606136.749329</v>
      </c>
      <c r="I9" s="18">
        <f>I8*(1-Assumptions!B8)</f>
        <v>13180137545.903868</v>
      </c>
      <c r="J9" s="18">
        <f>J8*(1-Assumptions!B8)</f>
        <v>13402148188.194231</v>
      </c>
      <c r="K9" s="18">
        <f>K8*(1-Assumptions!B8)</f>
        <v>13737201892.899086</v>
      </c>
    </row>
    <row r="10" spans="1:11" x14ac:dyDescent="0.25">
      <c r="A10" t="s">
        <v>53</v>
      </c>
      <c r="B10" s="18">
        <f>B6*Assumptions!B9</f>
        <v>11247100997.085234</v>
      </c>
      <c r="C10" s="18">
        <f>C6*Assumptions!B9</f>
        <v>10794457750.944822</v>
      </c>
      <c r="D10" s="18">
        <f>D6*Assumptions!B9</f>
        <v>10448067269.169472</v>
      </c>
      <c r="E10" s="18">
        <f>E6*Assumptions!B9</f>
        <v>10198003284.642946</v>
      </c>
      <c r="F10" s="18">
        <f>F6*Assumptions!B9</f>
        <v>10037095836.24819</v>
      </c>
      <c r="G10" s="18">
        <f>G6*Assumptions!B9</f>
        <v>9960586437.208601</v>
      </c>
      <c r="H10" s="18">
        <f>H6*Assumptions!B9</f>
        <v>9965895457.185265</v>
      </c>
      <c r="I10" s="18">
        <f>I6*Assumptions!B9</f>
        <v>10052485819.127754</v>
      </c>
      <c r="J10" s="18">
        <f>J6*Assumptions!B9</f>
        <v>10221813250.313242</v>
      </c>
      <c r="K10" s="18">
        <f>K6*Assumptions!B9</f>
        <v>10477358581.571072</v>
      </c>
    </row>
    <row r="11" spans="1:11" x14ac:dyDescent="0.25">
      <c r="A11" t="s">
        <v>54</v>
      </c>
      <c r="B11" s="18">
        <f>-B6*B19</f>
        <v>-14011382927.9329</v>
      </c>
      <c r="C11" s="18">
        <f>-C6*C19</f>
        <v>-13422475868.591606</v>
      </c>
      <c r="D11" s="18">
        <f>-D6*D19</f>
        <v>-12967541495.69032</v>
      </c>
      <c r="E11" s="18">
        <f>-E6*E19</f>
        <v>-12633544228.560326</v>
      </c>
      <c r="F11" s="18">
        <f>-F6*F19</f>
        <v>-12410948690.769789</v>
      </c>
      <c r="G11" s="18">
        <f>-G6*G19</f>
        <v>-12293262185.69493</v>
      </c>
      <c r="H11" s="18">
        <f>-H6*H19</f>
        <v>-12276720199.762346</v>
      </c>
      <c r="I11" s="18">
        <f>-I6*I19</f>
        <v>-12360093564.390919</v>
      </c>
      <c r="J11" s="18">
        <f>-J6*J19</f>
        <v>-12544603735.735424</v>
      </c>
      <c r="K11" s="18">
        <f>-K6*K19</f>
        <v>-12833939268.70711</v>
      </c>
    </row>
    <row r="12" spans="1:11" x14ac:dyDescent="0.25">
      <c r="A12" t="s">
        <v>55</v>
      </c>
      <c r="B12" s="18">
        <f>-(B6-Assumptions!B29)*Assumptions!B11</f>
        <v>-421882016.0479421</v>
      </c>
      <c r="C12" s="18">
        <f>-(C6-B6)*Assumptions!B11</f>
        <v>86454909.08823794</v>
      </c>
      <c r="D12" s="18">
        <f>-(D6-C6)*Assumptions!B11</f>
        <v>66160619.57462481</v>
      </c>
      <c r="E12" s="18">
        <f>-(E6-D6)*Assumptions!B11</f>
        <v>47762248.156414315</v>
      </c>
      <c r="F12" s="18">
        <f>-(F6-E6)*Assumptions!B11</f>
        <v>30733340.088926632</v>
      </c>
      <c r="G12" s="18">
        <f>-(G6-F6)*Assumptions!B11</f>
        <v>14613303.51168335</v>
      </c>
      <c r="H12" s="18">
        <f>-(H6-G6)*Assumptions!B11</f>
        <v>-1014023.3911449523</v>
      </c>
      <c r="I12" s="18">
        <f>-(I6-H6)*Assumptions!B11</f>
        <v>-16538768.519111473</v>
      </c>
      <c r="J12" s="18">
        <f>-(J6-I6)*Assumptions!B11</f>
        <v>-32341557.714848112</v>
      </c>
      <c r="K12" s="18">
        <f>-(K6-J6)*Assumptions!B11</f>
        <v>-48809185.97637926</v>
      </c>
    </row>
    <row r="13" spans="1:11" x14ac:dyDescent="0.25">
      <c r="A13" s="19" t="s">
        <v>56</v>
      </c>
      <c r="B13" s="20">
        <f>B9+B10+B11+B12</f>
        <v>11560271989.595816</v>
      </c>
      <c r="C13" s="20">
        <f>C9+C10+C11+C12</f>
        <v>11611397606.386005</v>
      </c>
      <c r="D13" s="20">
        <f>D9+D10+D11+D12</f>
        <v>11245483503.961676</v>
      </c>
      <c r="E13" s="20">
        <f>E9+E10+E11+E12</f>
        <v>10983151480.476398</v>
      </c>
      <c r="F13" s="20">
        <f>F9+F10+F11+F12</f>
        <v>10816839729.822086</v>
      </c>
      <c r="G13" s="20">
        <f>G9+G10+G11+G12</f>
        <v>10741582864.892117</v>
      </c>
      <c r="H13" s="20">
        <f>H9+H10+H11+H12</f>
        <v>10754767370.781101</v>
      </c>
      <c r="I13" s="20">
        <f>I9+I10+I11+I12</f>
        <v>10855991032.121593</v>
      </c>
      <c r="J13" s="20">
        <f>J9+J10+J11+J12</f>
        <v>11047016145.057201</v>
      </c>
      <c r="K13" s="20">
        <f>K9+K10+K11+K12</f>
        <v>11331812019.786669</v>
      </c>
    </row>
    <row r="14" spans="1:11" x14ac:dyDescent="0.25">
      <c r="A14" t="s">
        <v>57</v>
      </c>
      <c r="B14" s="21">
        <f>1/(1+Assumptions!$B$26)^(1-0.5*Assumptions!$B$32)</f>
        <v>0.9692401818875476</v>
      </c>
      <c r="C14" s="21">
        <f>1/(1+Assumptions!$B$26)^(2-0.5*Assumptions!$B$32)</f>
        <v>0.9105299409868908</v>
      </c>
      <c r="D14" s="21">
        <f>1/(1+Assumptions!$B$26)^(3-0.5*Assumptions!$B$32)</f>
        <v>0.8553759830912373</v>
      </c>
      <c r="E14" s="21">
        <f>1/(1+Assumptions!$B$26)^(4-0.5*Assumptions!$B$32)</f>
        <v>0.8035628917993317</v>
      </c>
      <c r="F14" s="21">
        <f>1/(1+Assumptions!$B$26)^(5-0.5*Assumptions!$B$32)</f>
        <v>0.7548882992287971</v>
      </c>
      <c r="G14" s="21">
        <f>1/(1+Assumptions!$B$26)^(6-0.5*Assumptions!$B$32)</f>
        <v>0.7091620956220714</v>
      </c>
      <c r="H14" s="21">
        <f>1/(1+Assumptions!$B$26)^(7-0.5*Assumptions!$B$32)</f>
        <v>0.6662056868292539</v>
      </c>
      <c r="I14" s="21">
        <f>1/(1+Assumptions!$B$26)^(8-0.5*Assumptions!$B$32)</f>
        <v>0.6258512967677913</v>
      </c>
      <c r="J14" s="21">
        <f>1/(1+Assumptions!$B$26)^(9-0.5*Assumptions!$B$32)</f>
        <v>0.587941312134603</v>
      </c>
      <c r="K14" s="21">
        <f>1/(1+Assumptions!$B$26)^(10-0.5*Assumptions!$B$32)</f>
        <v>0.5523276668112649</v>
      </c>
    </row>
    <row r="15" spans="1:11" x14ac:dyDescent="0.25">
      <c r="A15" s="19" t="s">
        <v>58</v>
      </c>
      <c r="B15" s="20">
        <f>B13*B14</f>
        <v>11204680125.86537</v>
      </c>
      <c r="C15" s="20">
        <f>C13*C14</f>
        <v>10572525177.317974</v>
      </c>
      <c r="D15" s="20">
        <f>D13*D14</f>
        <v>9619116507.53751</v>
      </c>
      <c r="E15" s="20">
        <f>E13*E14</f>
        <v>8825652964.721725</v>
      </c>
      <c r="F15" s="20">
        <f>F13*F14</f>
        <v>8165505746.675876</v>
      </c>
      <c r="G15" s="20">
        <f>G13*G14</f>
        <v>7617523414.765027</v>
      </c>
      <c r="H15" s="20">
        <f>H13*H14</f>
        <v>7164887182.940072</v>
      </c>
      <c r="I15" s="20">
        <f>I13*I14</f>
        <v>6794236065.152812</v>
      </c>
      <c r="J15" s="20">
        <f>J13*J14</f>
        <v>6494997167.497075</v>
      </c>
      <c r="K15" s="20">
        <f>K13*K14</f>
        <v>6258873293.632618</v>
      </c>
    </row>
    <row r="17" spans="1:2" x14ac:dyDescent="0.25">
      <c r="A17" s="22" t="s">
        <v>59</v>
      </c>
      <c r="B17" s="23">
        <f>SUM(B15:K15)</f>
        <v>82717997646.10605</v>
      </c>
    </row>
    <row r="19" spans="1:11" x14ac:dyDescent="0.25">
      <c r="A19" t="s">
        <v>7</v>
      </c>
      <c r="B19" s="9">
        <f>Assumptions!$B$10+($B$20-Assumptions!$B$10)*0/9</f>
        <v>0.191023746173627</v>
      </c>
      <c r="C19" s="9">
        <f>Assumptions!$B$10+($B$20-Assumptions!$B$10)*1/9</f>
        <v>0.19066841283011735</v>
      </c>
      <c r="D19" s="9">
        <f>Assumptions!$B$10+($B$20-Assumptions!$B$10)*2/9</f>
        <v>0.1903130794866077</v>
      </c>
      <c r="E19" s="9">
        <f>Assumptions!$B$10+($B$20-Assumptions!$B$10)*3/9</f>
        <v>0.18995774614309804</v>
      </c>
      <c r="F19" s="9">
        <f>Assumptions!$B$10+($B$20-Assumptions!$B$10)*4/9</f>
        <v>0.1896024127995884</v>
      </c>
      <c r="G19" s="9">
        <f>Assumptions!$B$10+($B$20-Assumptions!$B$10)*5/9</f>
        <v>0.18924707945607872</v>
      </c>
      <c r="H19" s="9">
        <f>Assumptions!$B$10+($B$20-Assumptions!$B$10)*6/9</f>
        <v>0.18889174611256906</v>
      </c>
      <c r="I19" s="9">
        <f>Assumptions!$B$10+($B$20-Assumptions!$B$10)*7/9</f>
        <v>0.1885364127690594</v>
      </c>
      <c r="J19" s="9">
        <f>Assumptions!$B$10+($B$20-Assumptions!$B$10)*8/9</f>
        <v>0.18818107942554976</v>
      </c>
      <c r="K19" s="9">
        <f>Assumptions!$B$10+($B$20-Assumptions!$B$10)*9/9</f>
        <v>0.1878257460820401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0.1878257460820401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11331812019.786669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13737201892.899086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0.17154735771585183</v>
      </c>
    </row>
    <row r="7" spans="1:2" x14ac:dyDescent="0.25">
      <c r="A7" t="s">
        <v>66</v>
      </c>
      <c r="B7" s="18">
        <f>-MAX(B5,0)*B6</f>
        <v>-2356580687.1360364</v>
      </c>
    </row>
    <row r="8" spans="1:2" x14ac:dyDescent="0.25">
      <c r="A8" t="s">
        <v>67</v>
      </c>
      <c r="B8" s="18">
        <f>IF(OR(Assumptions!$B$33=0,Assumptions!B12&lt;=0),B5,MAX(B5+B7,0))</f>
        <v>11380621205.76305</v>
      </c>
    </row>
    <row r="9" spans="1:2" x14ac:dyDescent="0.25">
      <c r="A9" t="s">
        <v>68</v>
      </c>
      <c r="B9" s="18">
        <f>B8*(1+Assumptions!B12)/(Assumptions!B26-Assumptions!B12)</f>
        <v>295475519972.72314</v>
      </c>
    </row>
    <row r="10" spans="1:2" x14ac:dyDescent="0.25">
      <c r="A10" t="s">
        <v>69</v>
      </c>
      <c r="B10" s="18">
        <f>B9/(1+Assumptions!B26)^(10-0.5*Assumptions!B32)</f>
        <v>163199304546.3795</v>
      </c>
    </row>
    <row r="11" spans="1:2" x14ac:dyDescent="0.25">
      <c r="A11" t="s">
        <v>70</v>
      </c>
      <c r="B11" s="18">
        <f>Forecast!B17+B10</f>
        <v>245917302192.48553</v>
      </c>
    </row>
    <row r="12" spans="1:2" x14ac:dyDescent="0.25">
      <c r="A12" t="s">
        <v>71</v>
      </c>
      <c r="B12" s="18">
        <f>-Assumptions!B30</f>
        <v>-16463000000</v>
      </c>
    </row>
    <row r="13" spans="1:2" x14ac:dyDescent="0.25">
      <c r="A13" t="s">
        <v>72</v>
      </c>
      <c r="B13" s="18">
        <f>B11+B12</f>
        <v>229454302192.48553</v>
      </c>
    </row>
    <row r="14" spans="1:2" x14ac:dyDescent="0.25">
      <c r="A14" s="19" t="s">
        <v>73</v>
      </c>
      <c r="B14" s="24">
        <f>B13/Assumptions!B31</f>
        <v>183.05878529468802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27866221737.139534</v>
      </c>
    </row>
    <row r="18" spans="1:2" x14ac:dyDescent="0.25">
      <c r="A18" t="s">
        <v>68</v>
      </c>
      <c r="B18" s="18">
        <f>B17*Assumptions!B13</f>
        <v>235289627911.84836</v>
      </c>
    </row>
    <row r="19" spans="1:2" x14ac:dyDescent="0.25">
      <c r="A19" t="s">
        <v>69</v>
      </c>
      <c r="B19" s="18">
        <f>B18/(1+Assumptions!B26)^(10-0.5*Assumptions!B32)</f>
        <v>129956971209.44186</v>
      </c>
    </row>
    <row r="20" spans="1:2" x14ac:dyDescent="0.25">
      <c r="A20" t="s">
        <v>70</v>
      </c>
      <c r="B20" s="18">
        <f>Forecast!B17+B19</f>
        <v>212674968855.5479</v>
      </c>
    </row>
    <row r="21" spans="1:2" x14ac:dyDescent="0.25">
      <c r="A21" t="s">
        <v>71</v>
      </c>
      <c r="B21" s="18">
        <f>-Assumptions!B30</f>
        <v>-16463000000</v>
      </c>
    </row>
    <row r="22" spans="1:2" x14ac:dyDescent="0.25">
      <c r="A22" t="s">
        <v>72</v>
      </c>
      <c r="B22" s="18">
        <f>B20+B21</f>
        <v>196211968855.5479</v>
      </c>
    </row>
    <row r="23" spans="1:2" x14ac:dyDescent="0.25">
      <c r="A23" s="19" t="s">
        <v>73</v>
      </c>
      <c r="B23" s="25">
        <f>B22/Assumptions!B31</f>
        <v>156.53803104046597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146.84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183.05878529468802</v>
      </c>
    </row>
    <row r="29" spans="1:2" x14ac:dyDescent="0.25">
      <c r="A29" s="19" t="s">
        <v>81</v>
      </c>
      <c r="B29" s="11">
        <f>B28/B26-1</f>
        <v>0.24665476229016625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0.044479</v>
      </c>
      <c r="B5" s="31">
        <v>285.37576257902987</v>
      </c>
      <c r="C5" s="31">
        <v>320.70761370656845</v>
      </c>
      <c r="D5" s="31">
        <v>374.75039847195296</v>
      </c>
      <c r="E5" s="31">
        <v>466.88832880747793</v>
      </c>
      <c r="F5" s="31">
        <v>657.4048927975516</v>
      </c>
    </row>
    <row r="6" spans="1:6" x14ac:dyDescent="0.25">
      <c r="A6" s="30">
        <v>0.054479</v>
      </c>
      <c r="B6" s="31">
        <v>210.97636316409836</v>
      </c>
      <c r="C6" s="31">
        <v>225.98151023245046</v>
      </c>
      <c r="D6" s="31">
        <v>246.434185771816</v>
      </c>
      <c r="E6" s="31">
        <v>275.67247250882633</v>
      </c>
      <c r="F6" s="31">
        <v>320.46181877063736</v>
      </c>
    </row>
    <row r="7" spans="1:6" x14ac:dyDescent="0.25">
      <c r="A7" s="30">
        <v>0.064479</v>
      </c>
      <c r="B7" s="31">
        <v>166.66061402991127</v>
      </c>
      <c r="C7" s="31">
        <v>173.8264316707704</v>
      </c>
      <c r="D7" s="32">
        <v>183.05972572704812</v>
      </c>
      <c r="E7" s="31">
        <v>195.25994647953235</v>
      </c>
      <c r="F7" s="31">
        <v>211.93677541141773</v>
      </c>
    </row>
    <row r="8" spans="1:6" x14ac:dyDescent="0.25">
      <c r="A8" s="30">
        <v>0.074479</v>
      </c>
      <c r="B8" s="31">
        <v>137.25326046106957</v>
      </c>
      <c r="C8" s="31">
        <v>140.80008572178144</v>
      </c>
      <c r="D8" s="31">
        <v>145.25434668739408</v>
      </c>
      <c r="E8" s="31">
        <v>150.92206497650304</v>
      </c>
      <c r="F8" s="31">
        <v>158.26429228374212</v>
      </c>
    </row>
    <row r="9" spans="1:6" x14ac:dyDescent="0.25">
      <c r="A9" s="30">
        <v>0.084479</v>
      </c>
      <c r="B9" s="31">
        <v>116.3158186527937</v>
      </c>
      <c r="C9" s="31">
        <v>118.00279344802688</v>
      </c>
      <c r="D9" s="31">
        <v>120.12359994719034</v>
      </c>
      <c r="E9" s="31">
        <v>122.79768739786506</v>
      </c>
      <c r="F9" s="31">
        <v>126.1927878535012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58944000000</v>
      </c>
      <c r="C5" s="18">
        <v>54745000000</v>
      </c>
      <c r="D5" s="18">
        <v>56141000000</v>
      </c>
      <c r="E5" s="18">
        <v>78494000000</v>
      </c>
      <c r="F5" s="6" t="s">
        <v>91</v>
      </c>
    </row>
    <row r="6" spans="1:6" x14ac:dyDescent="0.25">
      <c r="A6" t="s">
        <v>51</v>
      </c>
      <c r="B6" s="18">
        <v>11342000000</v>
      </c>
      <c r="C6" s="18">
        <v>12783000000</v>
      </c>
      <c r="D6" s="18">
        <v>15026000000</v>
      </c>
      <c r="E6" s="18">
        <v>25462000000</v>
      </c>
      <c r="F6" s="6" t="s">
        <v>92</v>
      </c>
    </row>
    <row r="7" spans="1:6" x14ac:dyDescent="0.25">
      <c r="A7" t="s">
        <v>93</v>
      </c>
      <c r="B7" s="18">
        <v>11500000000</v>
      </c>
      <c r="C7" s="18">
        <v>9599000000</v>
      </c>
      <c r="D7" s="18">
        <v>8270000000</v>
      </c>
      <c r="E7" s="18">
        <v>7504000000</v>
      </c>
      <c r="F7" s="6" t="s">
        <v>94</v>
      </c>
    </row>
    <row r="8" spans="1:6" x14ac:dyDescent="0.25">
      <c r="A8" t="s">
        <v>95</v>
      </c>
      <c r="B8" s="18">
        <v>12553000000</v>
      </c>
      <c r="C8" s="18">
        <v>12118000000</v>
      </c>
      <c r="D8" s="18">
        <v>11248000000</v>
      </c>
      <c r="E8" s="18">
        <v>10159000000</v>
      </c>
      <c r="F8" s="6" t="s">
        <v>96</v>
      </c>
    </row>
    <row r="9" spans="1:6" x14ac:dyDescent="0.25">
      <c r="A9" t="s">
        <v>97</v>
      </c>
      <c r="B9" s="18">
        <v>76000000</v>
      </c>
      <c r="C9" s="18">
        <v>181000000</v>
      </c>
      <c r="D9" s="18">
        <v>1382000000</v>
      </c>
      <c r="E9" s="18">
        <v>234000000</v>
      </c>
      <c r="F9" s="6" t="s">
        <v>98</v>
      </c>
    </row>
    <row r="10" spans="1:6" x14ac:dyDescent="0.25">
      <c r="A10" t="s">
        <v>99</v>
      </c>
      <c r="B10" s="18">
        <v>23444000000</v>
      </c>
      <c r="C10" s="18">
        <v>24324000000</v>
      </c>
      <c r="D10" s="18">
        <v>18937000000</v>
      </c>
      <c r="E10" s="18">
        <v>16643000000</v>
      </c>
      <c r="F10" s="6" t="s">
        <v>100</v>
      </c>
    </row>
    <row r="11" spans="1:6" x14ac:dyDescent="0.25">
      <c r="A11" t="s">
        <v>101</v>
      </c>
      <c r="B11" s="18">
        <v>6981000000</v>
      </c>
      <c r="C11" s="18">
        <v>6114000000</v>
      </c>
      <c r="D11" s="18">
        <v>6606000000</v>
      </c>
      <c r="E11" s="18">
        <v>9243000000</v>
      </c>
      <c r="F11" s="6" t="s">
        <v>102</v>
      </c>
    </row>
    <row r="12" spans="1:6" x14ac:dyDescent="0.25">
      <c r="A12" t="s">
        <v>34</v>
      </c>
      <c r="B12" s="34">
        <v>1253446000</v>
      </c>
      <c r="C12" s="34">
        <v>1180871000</v>
      </c>
      <c r="D12" s="34">
        <v>1205675000</v>
      </c>
      <c r="E12" s="34">
        <v>1278163000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