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<sst xmlns="http://schemas.openxmlformats.org/spreadsheetml/2006/main" count="111" uniqueCount="99">
  <si>
    <t>ConocoPhillips (COP)</t>
  </si>
  <si>
    <t>DCF Studio - Base case</t>
  </si>
  <si>
    <t>Blue figures on a cream fill are inputs. Every other figure is a formula - change an input and the model reprices. Currency figures are USD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</si>
  <si>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</si>
  <si>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</si>
  <si>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</si>
  <si>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</si>
  <si>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</si>
  <si>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</si>
  <si>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</si>
  <si>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</si>
  <si>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</si>
  <si>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</si>
  <si>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</si>
  <si>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</si>
  <si>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</si>
  <si>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US 10-year Treasury (^TNX)</t>
  </si>
  <si>
    <t>Equity risk premium</t>
  </si>
  <si>
    <t>Beta</t>
  </si>
  <si>
    <t>As reported</t>
  </si>
  <si>
    <t>Cost of equity</t>
  </si>
  <si>
    <t>Cost of debt</t>
  </si>
  <si>
    <t>Interest expense / average total debt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</si>
  <si>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</si>
  <si>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</si>
  <si>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</si>
  <si>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</si>
  <si>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</si>
  <si>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</si>
  <si>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</si>
  <si>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</si>
  <si>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</si>
  <si>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</si>
  <si>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</si>
  <si>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</si>
  <si>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</si>
  <si>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</si>
  <si>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</si>
  <si>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</si>
  <si>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</si>
  <si>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</si>
  <si>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</si>
  <si>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</si>
  <si>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</si>
  <si>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</si>
  <si>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</si>
  <si>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</si>
  <si>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</si>
  <si>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</si>
  <si>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</si>
  <si>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</si>
  <si>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</si>
  <si>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</si>
  <si>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(USD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</si>
  <si>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</si>
  <si>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</si>
  <si>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</si>
  <si>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</si>
  <si>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</si>
  <si>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</si>
  <si>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</si>
  <si>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</si>
  <si>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</si>
  <si>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</si>
  <si>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</si>
  <si>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</si>
  <si>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</si>
  <si>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</si>
  <si>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</si>
  <si>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</si>
  <si>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</si>
  <si>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</si>
  <si>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</si>
  <si>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</si>
  <si>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</si>
  <si>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</si>
  <si>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</si>
  <si>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</si>
  <si>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</si>
  <si>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</si>
  <si>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</si>
  <si>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</si>
  <si>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</si>
  <si>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</si>
  <si>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</si>
  <si>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</si>
  <si>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</si>
  <si>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</si>
  <si>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</si>
  <si>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</si>
  <si>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</si>
  <si>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</si>
  <si>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</si>
  <si>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</si>
  <si>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</si>
  <si>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</si>
  <si>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</si>
  <si>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</si>
  <si>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Data: Yahoo Finance. Risk-free rate: US 10-year Treasury (^TNX).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</si>
</sst>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-0.09106174739359629</v>
      </c>
    </row>
    <row r="7" spans="1:2" x14ac:dyDescent="0.25">
      <c r="A7" t="s">
        <v>5</v>
      </c>
      <c r="B7" s="6">
        <v>0.2544874280087013</v>
      </c>
    </row>
    <row r="8" spans="1:2" x14ac:dyDescent="0.25">
      <c r="A8" t="s">
        <v>6</v>
      </c>
      <c r="B8" s="6">
        <v>0.21</v>
      </c>
    </row>
    <row r="9" spans="1:2" x14ac:dyDescent="0.25">
      <c r="A9" t="s">
        <v>7</v>
      </c>
      <c r="B9" s="6">
        <v>0.15333699586307145</v>
      </c>
    </row>
    <row r="10" spans="1:2" x14ac:dyDescent="0.25">
      <c r="A10" t="s">
        <v>8</v>
      </c>
      <c r="B10" s="6">
        <v>0.191023746173627</v>
      </c>
    </row>
    <row r="11" spans="1:2" x14ac:dyDescent="0.25">
      <c r="A11" t="s">
        <v>9</v>
      </c>
      <c r="B11" s="6">
        <v>-0.061826153089070815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7.654115888976447</v>
      </c>
    </row>
    <row r="14" spans="1:3" x14ac:dyDescent="0.25">
      <c r="A14" t="s">
        <v>12</v>
      </c>
      <c r="B14" s="6">
        <v>0.14573235247032823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0.049980000000000004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0.41978</v>
      </c>
      <c r="C19" s="8" t="s">
        <v>19</v>
      </c>
    </row>
    <row r="20" spans="1:2" x14ac:dyDescent="0.25">
      <c r="A20" t="s">
        <v>20</v>
      </c>
      <c r="B20" s="10">
        <f>B17+B19*B18</f>
        <v>0.0730679</v>
      </c>
    </row>
    <row r="21" spans="1:3" x14ac:dyDescent="0.25">
      <c r="A21" t="s">
        <v>21</v>
      </c>
      <c r="B21" s="6">
        <v>0.05162451850611288</v>
      </c>
      <c r="C21" s="8" t="s">
        <v>22</v>
      </c>
    </row>
    <row r="22" spans="1:2" x14ac:dyDescent="0.25">
      <c r="A22" t="s">
        <v>23</v>
      </c>
      <c r="B22" s="11">
        <v>158372315136</v>
      </c>
    </row>
    <row r="23" spans="1:2" x14ac:dyDescent="0.25">
      <c r="A23" t="s">
        <v>24</v>
      </c>
      <c r="B23" s="11">
        <v>23444000000</v>
      </c>
    </row>
    <row r="24" spans="1:2" x14ac:dyDescent="0.25">
      <c r="A24" t="s">
        <v>25</v>
      </c>
      <c r="B24" s="10">
        <f>B22/(B22+B23)</f>
        <v>0.8710566761708722</v>
      </c>
    </row>
    <row r="25" spans="1:2" x14ac:dyDescent="0.25">
      <c r="A25" t="s">
        <v>26</v>
      </c>
      <c r="B25" s="10">
        <f>1-B24</f>
        <v>0.12894332382912777</v>
      </c>
    </row>
    <row r="26" spans="1:2" x14ac:dyDescent="0.25">
      <c r="A26" t="s">
        <v>27</v>
      </c>
      <c r="B26" s="12">
        <f>B24*B20+B25*B21*(1-B8)</f>
        <v>0.06890502534451831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58944000000</v>
      </c>
      <c r="C29" s="8" t="s">
        <v>30</v>
      </c>
    </row>
    <row r="30" spans="1:2" x14ac:dyDescent="0.25">
      <c r="A30" t="s">
        <v>31</v>
      </c>
      <c r="B30" s="11">
        <v>16463000000</v>
      </c>
    </row>
    <row r="31" spans="1:2" x14ac:dyDescent="0.25">
      <c r="A31" t="s">
        <v>32</v>
      </c>
      <c r="B31" s="13">
        <v>1253446000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-0.09106174739359629</v>
      </c>
      <c r="C5" s="10">
        <f>Assumptions!B6</f>
        <v>-0.09106174739359629</v>
      </c>
      <c r="D5" s="10">
        <f>Assumptions!B6</f>
        <v>-0.09106174739359629</v>
      </c>
      <c r="E5" s="10">
        <f>Assumptions!B6</f>
        <v>-0.09106174739359629</v>
      </c>
      <c r="F5" s="10">
        <f>Assumptions!B6</f>
        <v>-0.09106174739359629</v>
      </c>
    </row>
    <row r="6" spans="1:6" x14ac:dyDescent="0.25">
      <c r="A6" t="s">
        <v>43</v>
      </c>
      <c r="B6" s="18">
        <f>Assumptions!B29*(1+B5)</f>
        <v>53576456361.63186</v>
      </c>
      <c r="C6" s="18">
        <f>B6*(1+C5)</f>
        <v>48697690626.184906</v>
      </c>
      <c r="D6" s="18">
        <f>C6*(1+D5)</f>
        <v>44263193823.73175</v>
      </c>
      <c r="E6" s="18">
        <f>D6*(1+E5)</f>
        <v>40232510048.921295</v>
      </c>
      <c r="F6" s="18">
        <f>E6*(1+F5)</f>
        <v>36568867381.8361</v>
      </c>
    </row>
    <row r="7" spans="1:6" x14ac:dyDescent="0.25">
      <c r="A7" t="s">
        <v>5</v>
      </c>
      <c r="B7" s="10">
        <f>Assumptions!B7</f>
        <v>0.2544874280087013</v>
      </c>
      <c r="C7" s="10">
        <f>Assumptions!B7</f>
        <v>0.2544874280087013</v>
      </c>
      <c r="D7" s="10">
        <f>Assumptions!B7</f>
        <v>0.2544874280087013</v>
      </c>
      <c r="E7" s="10">
        <f>Assumptions!B7</f>
        <v>0.2544874280087013</v>
      </c>
      <c r="F7" s="10">
        <f>Assumptions!B7</f>
        <v>0.2544874280087013</v>
      </c>
    </row>
    <row r="8" spans="1:6" x14ac:dyDescent="0.25">
      <c r="A8" t="s">
        <v>44</v>
      </c>
      <c r="B8" s="18">
        <f>B6*B7</f>
        <v>13634534581.292112</v>
      </c>
      <c r="C8" s="18">
        <f>C6*C7</f>
        <v>12392950037.421238</v>
      </c>
      <c r="D8" s="18">
        <f>D6*D7</f>
        <v>11264426351.652124</v>
      </c>
      <c r="E8" s="18">
        <f>E6*E7</f>
        <v>10238668004.684208</v>
      </c>
      <c r="F8" s="18">
        <f>F6*F7</f>
        <v>9306317005.194757</v>
      </c>
    </row>
    <row r="9" spans="1:6" x14ac:dyDescent="0.25">
      <c r="A9" t="s">
        <v>45</v>
      </c>
      <c r="B9" s="18">
        <f>B8*(1-Assumptions!B8)</f>
        <v>10771282319.22077</v>
      </c>
      <c r="C9" s="18">
        <f>C8*(1-Assumptions!B8)</f>
        <v>9790430529.562778</v>
      </c>
      <c r="D9" s="18">
        <f>D8*(1-Assumptions!B8)</f>
        <v>8898896817.80518</v>
      </c>
      <c r="E9" s="18">
        <f>E8*(1-Assumptions!B8)</f>
        <v>8088547723.700524</v>
      </c>
      <c r="F9" s="18">
        <f>F8*(1-Assumptions!B8)</f>
        <v>7351990434.103859</v>
      </c>
    </row>
    <row r="10" spans="1:6" x14ac:dyDescent="0.25">
      <c r="A10" t="s">
        <v>46</v>
      </c>
      <c r="B10" s="18">
        <f>B6*Assumptions!B9</f>
        <v>8215252867.481572</v>
      </c>
      <c r="C10" s="18">
        <f>C6*Assumptions!B9</f>
        <v>7467157586.088449</v>
      </c>
      <c r="D10" s="18">
        <f>D6*Assumptions!B9</f>
        <v>6787185168.235886</v>
      </c>
      <c r="E10" s="18">
        <f>E6*Assumptions!B9</f>
        <v>6169132226.9324255</v>
      </c>
      <c r="F10" s="18">
        <f>F6*Assumptions!B9</f>
        <v>5607360266.44581</v>
      </c>
    </row>
    <row r="11" spans="1:6" x14ac:dyDescent="0.25">
      <c r="A11" t="s">
        <v>47</v>
      </c>
      <c r="B11" s="18">
        <f>-B6*Assumptions!B10</f>
        <v>-10234375400.906767</v>
      </c>
      <c r="C11" s="18">
        <f>-C6*Assumptions!B10</f>
        <v>-9302415293.41816</v>
      </c>
      <c r="D11" s="18">
        <f>-D6*Assumptions!B10</f>
        <v>-8455321101.818588</v>
      </c>
      <c r="E11" s="18">
        <f>-E6*Assumptions!B10</f>
        <v>-7685364787.513039</v>
      </c>
      <c r="F11" s="18">
        <f>-F6*Assumptions!B10</f>
        <v>-6985522040.604886</v>
      </c>
    </row>
    <row r="12" spans="1:6" x14ac:dyDescent="0.25">
      <c r="A12" t="s">
        <v>48</v>
      </c>
      <c r="B12" s="18">
        <f>-(B6-Assumptions!B29)*Assumptions!B11</f>
        <v>-331854574.6980169</v>
      </c>
      <c r="C12" s="18">
        <f>-(C6-B6)*Assumptions!B11</f>
        <v>-301635317.24545646</v>
      </c>
      <c r="D12" s="18">
        <f>-(D6-C6)*Assumptions!B11</f>
        <v>-274167878.18146384</v>
      </c>
      <c r="E12" s="18">
        <f>-(E6-D6)*Assumptions!B11</f>
        <v>-249201672.11506504</v>
      </c>
      <c r="F12" s="18">
        <f>-(F6-E6)*Assumptions!B11</f>
        <v>-226508932.3988611</v>
      </c>
    </row>
    <row r="13" spans="1:6" x14ac:dyDescent="0.25">
      <c r="A13" s="19" t="s">
        <v>49</v>
      </c>
      <c r="B13" s="20">
        <f>B9+B10+B11+B12</f>
        <v>8420305211.097559</v>
      </c>
      <c r="C13" s="20">
        <f>C9+C10+C11+C12</f>
        <v>7653537504.98761</v>
      </c>
      <c r="D13" s="20">
        <f>D9+D10+D11+D12</f>
        <v>6956593006.041013</v>
      </c>
      <c r="E13" s="20">
        <f>E9+E10+E11+E12</f>
        <v>6323113491.004847</v>
      </c>
      <c r="F13" s="20">
        <f>F9+F10+F11+F12</f>
        <v>5747319727.545922</v>
      </c>
    </row>
    <row r="14" spans="1:6" x14ac:dyDescent="0.25">
      <c r="A14" t="s">
        <v>50</v>
      </c>
      <c r="B14" s="21">
        <f>1/(1+Assumptions!$B$26)^(1-0.5*Assumptions!$B$32)</f>
        <v>0.9672315194625081</v>
      </c>
      <c r="C14" s="21">
        <f>1/(1+Assumptions!$B$26)^(2-0.5*Assumptions!$B$32)</f>
        <v>0.9048806924177012</v>
      </c>
      <c r="D14" s="21">
        <f>1/(1+Assumptions!$B$26)^(3-0.5*Assumptions!$B$32)</f>
        <v>0.8465491984435657</v>
      </c>
      <c r="E14" s="21">
        <f>1/(1+Assumptions!$B$26)^(4-0.5*Assumptions!$B$32)</f>
        <v>0.7919779385177039</v>
      </c>
      <c r="F14" s="21">
        <f>1/(1+Assumptions!$B$26)^(5-0.5*Assumptions!$B$32)</f>
        <v>0.7409245159666472</v>
      </c>
    </row>
    <row r="15" spans="1:6" x14ac:dyDescent="0.25">
      <c r="A15" s="19" t="s">
        <v>51</v>
      </c>
      <c r="B15" s="20">
        <f>B13*B14</f>
        <v>8144384603.667967</v>
      </c>
      <c r="C15" s="20">
        <f>C13*C14</f>
        <v>6925538316.958034</v>
      </c>
      <c r="D15" s="20">
        <f>D13*D14</f>
        <v>5889098233.162134</v>
      </c>
      <c r="E15" s="20">
        <f>E13*E14</f>
        <v>5007766387.6195</v>
      </c>
      <c r="F15" s="20">
        <f>F13*F14</f>
        <v>4258330087.237525</v>
      </c>
    </row>
    <row r="17" spans="1:2" x14ac:dyDescent="0.25">
      <c r="A17" s="22" t="s">
        <v>52</v>
      </c>
      <c r="B17" s="23">
        <f>SUM(B15:F15)</f>
        <v>30225117628.645157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5747319727.545922</v>
      </c>
    </row>
    <row r="5" spans="1:2" x14ac:dyDescent="0.25">
      <c r="A5" t="s">
        <v>56</v>
      </c>
      <c r="B5" s="18">
        <f>IF(Assumptions!$B$33=0,B4,B4-Forecast!F11-Forecast!F10-Forecast!F12)</f>
        <v>7351990434.103859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0.17154735771585183</v>
      </c>
    </row>
    <row r="7" spans="1:2" x14ac:dyDescent="0.25">
      <c r="A7" t="s">
        <v>58</v>
      </c>
      <c r="B7" s="18">
        <f>-MAX(Forecast!F9,0)*B6</f>
        <v>-1261214532.9227355</v>
      </c>
    </row>
    <row r="8" spans="1:2" x14ac:dyDescent="0.25">
      <c r="A8" t="s">
        <v>59</v>
      </c>
      <c r="B8" s="18">
        <f>IF(OR(Assumptions!$B$33=0,Assumptions!B12&lt;=0),B5,MAX(B5+B7,0))</f>
        <v>6090775901.181124</v>
      </c>
    </row>
    <row r="9" spans="1:2" x14ac:dyDescent="0.25">
      <c r="A9" t="s">
        <v>60</v>
      </c>
      <c r="B9" s="18">
        <f>B8*(1+Assumptions!B12)/(Assumptions!B26-Assumptions!B12)</f>
        <v>142194321714.24805</v>
      </c>
    </row>
    <row r="10" spans="1:2" x14ac:dyDescent="0.25">
      <c r="A10" t="s">
        <v>61</v>
      </c>
      <c r="B10" s="18">
        <f>B9/(1+Assumptions!B26)^(5-0.5*Assumptions!B32)</f>
        <v>105355258989.33495</v>
      </c>
    </row>
    <row r="11" spans="1:2" x14ac:dyDescent="0.25">
      <c r="A11" t="s">
        <v>62</v>
      </c>
      <c r="B11" s="18">
        <f>Forecast!B17+B10</f>
        <v>135580376617.9801</v>
      </c>
    </row>
    <row r="12" spans="1:2" x14ac:dyDescent="0.25">
      <c r="A12" t="s">
        <v>63</v>
      </c>
      <c r="B12" s="18">
        <f>-Assumptions!B30</f>
        <v>-16463000000</v>
      </c>
    </row>
    <row r="13" spans="1:2" x14ac:dyDescent="0.25">
      <c r="A13" t="s">
        <v>64</v>
      </c>
      <c r="B13" s="18">
        <f>B11+B12</f>
        <v>119117376617.9801</v>
      </c>
    </row>
    <row r="14" spans="1:2" x14ac:dyDescent="0.25">
      <c r="A14" s="19" t="s">
        <v>65</v>
      </c>
      <c r="B14" s="24">
        <f>B13/Assumptions!B31</f>
        <v>95.03191730475832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14913677271.640568</v>
      </c>
    </row>
    <row r="18" spans="1:2" x14ac:dyDescent="0.25">
      <c r="A18" t="s">
        <v>60</v>
      </c>
      <c r="B18" s="18">
        <f>B17*Assumptions!B13</f>
        <v>114151014167.93098</v>
      </c>
    </row>
    <row r="19" spans="1:2" x14ac:dyDescent="0.25">
      <c r="A19" t="s">
        <v>61</v>
      </c>
      <c r="B19" s="18">
        <f>B18/(1+Assumptions!B26)^(5-0.5*Assumptions!B32)</f>
        <v>84577284919.47615</v>
      </c>
    </row>
    <row r="20" spans="1:2" x14ac:dyDescent="0.25">
      <c r="A20" t="s">
        <v>62</v>
      </c>
      <c r="B20" s="18">
        <f>Forecast!B17+B19</f>
        <v>114802402548.1213</v>
      </c>
    </row>
    <row r="21" spans="1:2" x14ac:dyDescent="0.25">
      <c r="A21" t="s">
        <v>63</v>
      </c>
      <c r="B21" s="18">
        <f>-Assumptions!B30</f>
        <v>-16463000000</v>
      </c>
    </row>
    <row r="22" spans="1:2" x14ac:dyDescent="0.25">
      <c r="A22" t="s">
        <v>64</v>
      </c>
      <c r="B22" s="18">
        <f>B20+B21</f>
        <v>98339402548.1213</v>
      </c>
    </row>
    <row r="23" spans="1:2" x14ac:dyDescent="0.25">
      <c r="A23" s="19" t="s">
        <v>65</v>
      </c>
      <c r="B23" s="25">
        <f>B22/Assumptions!B31</f>
        <v>78.45523664212205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131.83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95.03191730475832</v>
      </c>
    </row>
    <row r="29" spans="1:2" x14ac:dyDescent="0.25">
      <c r="A29" s="19" t="s">
        <v>73</v>
      </c>
      <c r="B29" s="12">
        <f>B28/B26-1</f>
        <v>-0.2791328430193559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0.048905</v>
      </c>
      <c r="B5" s="31">
        <v>139.06355101446394</v>
      </c>
      <c r="C5" s="31">
        <v>156.04867556782412</v>
      </c>
      <c r="D5" s="31">
        <v>180.0711537559852</v>
      </c>
      <c r="E5" s="31">
        <v>216.71470970071474</v>
      </c>
      <c r="F5" s="31">
        <v>279.59431401319773</v>
      </c>
    </row>
    <row r="6" spans="1:6" x14ac:dyDescent="0.25">
      <c r="A6" s="30">
        <v>0.058905</v>
      </c>
      <c r="B6" s="31">
        <v>105.50097076832976</v>
      </c>
      <c r="C6" s="31">
        <v>114.02893581872377</v>
      </c>
      <c r="D6" s="31">
        <v>125.02627699950415</v>
      </c>
      <c r="E6" s="31">
        <v>139.77445571720258</v>
      </c>
      <c r="F6" s="31">
        <v>160.62706172516658</v>
      </c>
    </row>
    <row r="7" spans="1:6" x14ac:dyDescent="0.25">
      <c r="A7" s="30">
        <v>0.068905</v>
      </c>
      <c r="B7" s="31">
        <v>84.38641592012193</v>
      </c>
      <c r="C7" s="31">
        <v>89.18024426415371</v>
      </c>
      <c r="D7" s="32">
        <v>95.0319760390856</v>
      </c>
      <c r="E7" s="31">
        <v>102.34949073247718</v>
      </c>
      <c r="F7" s="31">
        <v>111.78126921077562</v>
      </c>
    </row>
    <row r="8" spans="1:6" x14ac:dyDescent="0.25">
      <c r="A8" s="30">
        <v>0.078905</v>
      </c>
      <c r="B8" s="31">
        <v>69.87600786123724</v>
      </c>
      <c r="C8" s="31">
        <v>72.75766023132601</v>
      </c>
      <c r="D8" s="31">
        <v>76.14736712098414</v>
      </c>
      <c r="E8" s="31">
        <v>80.20095754142812</v>
      </c>
      <c r="F8" s="31">
        <v>85.14524513488061</v>
      </c>
    </row>
    <row r="9" spans="1:6" x14ac:dyDescent="0.25">
      <c r="A9" s="30">
        <v>0.088905</v>
      </c>
      <c r="B9" s="31">
        <v>59.28880480160014</v>
      </c>
      <c r="C9" s="31">
        <v>61.09276586340933</v>
      </c>
      <c r="D9" s="31">
        <v>63.15755022617555</v>
      </c>
      <c r="E9" s="31">
        <v>65.5495758427781</v>
      </c>
      <c r="F9" s="31">
        <v>68.35990326061605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58944000000</v>
      </c>
      <c r="C5" s="18">
        <v>54745000000</v>
      </c>
      <c r="D5" s="18">
        <v>56141000000</v>
      </c>
      <c r="E5" s="18">
        <v>78494000000</v>
      </c>
      <c r="F5" s="8" t="s">
        <v>84</v>
      </c>
    </row>
    <row r="6" spans="1:6" x14ac:dyDescent="0.25">
      <c r="A6" t="s">
        <v>44</v>
      </c>
      <c r="B6" s="18">
        <v>11342000000</v>
      </c>
      <c r="C6" s="18">
        <v>12783000000</v>
      </c>
      <c r="D6" s="18">
        <v>15026000000</v>
      </c>
      <c r="E6" s="18">
        <v>25462000000</v>
      </c>
      <c r="F6" s="8" t="s">
        <v>85</v>
      </c>
    </row>
    <row r="7" spans="1:6" x14ac:dyDescent="0.25">
      <c r="A7" t="s">
        <v>86</v>
      </c>
      <c r="B7" s="18">
        <v>11500000000</v>
      </c>
      <c r="C7" s="18">
        <v>9599000000</v>
      </c>
      <c r="D7" s="18">
        <v>8270000000</v>
      </c>
      <c r="E7" s="18">
        <v>7504000000</v>
      </c>
      <c r="F7" s="8" t="s">
        <v>87</v>
      </c>
    </row>
    <row r="8" spans="1:6" x14ac:dyDescent="0.25">
      <c r="A8" t="s">
        <v>88</v>
      </c>
      <c r="B8" s="18">
        <v>12553000000</v>
      </c>
      <c r="C8" s="18">
        <v>12118000000</v>
      </c>
      <c r="D8" s="18">
        <v>11248000000</v>
      </c>
      <c r="E8" s="18">
        <v>10159000000</v>
      </c>
      <c r="F8" s="8" t="s">
        <v>89</v>
      </c>
    </row>
    <row r="9" spans="1:6" x14ac:dyDescent="0.25">
      <c r="A9" t="s">
        <v>90</v>
      </c>
      <c r="B9" s="18">
        <v>76000000</v>
      </c>
      <c r="C9" s="18">
        <v>181000000</v>
      </c>
      <c r="D9" s="18">
        <v>1382000000</v>
      </c>
      <c r="E9" s="18">
        <v>234000000</v>
      </c>
      <c r="F9" s="8" t="s">
        <v>91</v>
      </c>
    </row>
    <row r="10" spans="1:6" x14ac:dyDescent="0.25">
      <c r="A10" t="s">
        <v>92</v>
      </c>
      <c r="B10" s="18">
        <v>23444000000</v>
      </c>
      <c r="C10" s="18">
        <v>24324000000</v>
      </c>
      <c r="D10" s="18">
        <v>18937000000</v>
      </c>
      <c r="E10" s="18">
        <v>16643000000</v>
      </c>
      <c r="F10" s="8" t="s">
        <v>93</v>
      </c>
    </row>
    <row r="11" spans="1:6" x14ac:dyDescent="0.25">
      <c r="A11" t="s">
        <v>94</v>
      </c>
      <c r="B11" s="18">
        <v>6981000000</v>
      </c>
      <c r="C11" s="18">
        <v>6114000000</v>
      </c>
      <c r="D11" s="18">
        <v>6606000000</v>
      </c>
      <c r="E11" s="18">
        <v>9243000000</v>
      </c>
      <c r="F11" s="8" t="s">
        <v>95</v>
      </c>
    </row>
    <row r="12" spans="1:6" x14ac:dyDescent="0.25">
      <c r="A12" t="s">
        <v>32</v>
      </c>
      <c r="B12" s="34">
        <v>1253446000</v>
      </c>
      <c r="C12" s="34">
        <v>1180871000</v>
      </c>
      <c r="D12" s="34">
        <v>1205675000</v>
      </c>
      <c r="E12" s="34">
        <v>1278163000</v>
      </c>
      <c r="F12" s="8" t="s">
        <v>96</v>
      </c>
    </row>
    <row r="15" spans="1:1" x14ac:dyDescent="0.25">
      <c r="A15" s="19" t="s">
        <v>97</v>
      </c>
    </row>
    <row r="17" spans="1:1" x14ac:dyDescent="0.25">
      <c r="A17" s="35" t="s">
        <v>98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2026-09-19T00:06:34Z</dcterms:modified>
</cp:coreProperties>
</file>