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<sst xmlns="http://schemas.openxmlformats.org/spreadsheetml/2006/main" count="113" uniqueCount="101">
  <si>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Cencora, Inc. (COR)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</si>
  <si>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</si>
  <si>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</si>
  <si>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</si>
  <si>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</si>
  <si>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</si>
  <si>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</si>
  <si>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</si>
  <si>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</si>
  <si>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</si>
  <si>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</si>
  <si>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</si>
  <si>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</si>
  <si>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</si>
  <si>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</si>
  <si>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</si>
  <si>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</si>
  <si>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</si>
  <si>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</si>
  <si>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</si>
  <si>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</si>
  <si>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</si>
  <si>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</si>
  <si>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</si>
  <si>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</si>
  <si>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</si>
  <si>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</si>
  <si>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</si>
  <si>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</si>
  <si>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</si>
  <si>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</si>
  <si>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</si>
  <si>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</si>
  <si>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</si>
  <si>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</si>
  <si>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</si>
  <si>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</si>
  <si>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</si>
  <si>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</si>
  <si>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</si>
  <si>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</si>
  <si>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</si>
  <si>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</si>
  <si>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</si>
  <si>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</si>
  <si>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</si>
  <si>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</si>
  <si>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</si>
  <si>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</si>
  <si>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</si>
  <si>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</si>
  <si>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</si>
  <si>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</si>
  <si>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</si>
  <si>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</si>
  <si>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</si>
  <si>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</si>
  <si>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</si>
  <si>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</si>
  <si>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</si>
  <si>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</si>
  <si>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</si>
  <si>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</si>
  <si>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</si>
  <si>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</si>
  <si>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</si>
  <si>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</si>
  <si>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</si>
  <si>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</si>
  <si>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</si>
  <si>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</si>
  <si>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</si>
  <si>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</si>
  <si>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</si>
  <si>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</si>
  <si>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</si>
  <si>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</si>
  <si>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</si>
  <si>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</si>
  <si>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</si>
  <si>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</si>
  <si>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</si>
  <si>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</si>
  <si>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</si>
  <si>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</si>
  <si>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</si>
  <si>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</si>
  <si>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</si>
  <si>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</si>
  <si>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</si>
  <si>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</si>
  <si>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</si>
  <si>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</si>
  <si>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</si>
  <si>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</si>
  <si>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</si>
  <si>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</si>
  <si>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</si>
  <si>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0.19%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</si>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</sst>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0.1043399050694318</v>
      </c>
    </row>
    <row r="7" spans="1:2" x14ac:dyDescent="0.25">
      <c r="A7" t="s">
        <v>5</v>
      </c>
      <c r="B7" s="6">
        <v>0.011191385457016641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0.0034618632143757653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-0.009397081433024717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12.440579061574502</v>
      </c>
    </row>
    <row r="14" spans="1:3" x14ac:dyDescent="0.25">
      <c r="A14" t="s">
        <v>12</v>
      </c>
      <c r="B14" s="6">
        <v>0.3978632845039446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0.71458</v>
      </c>
      <c r="C19" s="8" t="s">
        <v>19</v>
      </c>
    </row>
    <row r="20" spans="1:2" x14ac:dyDescent="0.25">
      <c r="A20" t="s">
        <v>20</v>
      </c>
      <c r="B20" s="10">
        <f>B17+B19*B18</f>
        <v>0.0892819</v>
      </c>
    </row>
    <row r="21" spans="1:3" x14ac:dyDescent="0.25">
      <c r="A21" t="s">
        <v>21</v>
      </c>
      <c r="B21" s="6">
        <v>0.06967520300071817</v>
      </c>
      <c r="C21" s="8" t="s">
        <v>22</v>
      </c>
    </row>
    <row r="22" spans="1:2" x14ac:dyDescent="0.25">
      <c r="A22" t="s">
        <v>23</v>
      </c>
      <c r="B22" s="11">
        <v>58923614208</v>
      </c>
    </row>
    <row r="23" spans="1:2" x14ac:dyDescent="0.25">
      <c r="A23" t="s">
        <v>24</v>
      </c>
      <c r="B23" s="11">
        <v>7660773000</v>
      </c>
    </row>
    <row r="24" spans="1:2" x14ac:dyDescent="0.25">
      <c r="A24" t="s">
        <v>25</v>
      </c>
      <c r="B24" s="10">
        <f>B22/(B22+B23)</f>
        <v>0.8849464067894948</v>
      </c>
    </row>
    <row r="25" spans="1:2" x14ac:dyDescent="0.25">
      <c r="A25" t="s">
        <v>26</v>
      </c>
      <c r="B25" s="10">
        <f>1-B24</f>
        <v>0.11505359321050523</v>
      </c>
    </row>
    <row r="26" spans="1:2" x14ac:dyDescent="0.25">
      <c r="A26" t="s">
        <v>27</v>
      </c>
      <c r="B26" s="12">
        <f>B24*B20+B25*B21*(1-B8)</f>
        <v>0.08534263874203316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321332819000</v>
      </c>
      <c r="C29" s="8" t="s">
        <v>30</v>
      </c>
    </row>
    <row r="30" spans="1:2" x14ac:dyDescent="0.25">
      <c r="A30" t="s">
        <v>31</v>
      </c>
      <c r="B30" s="11">
        <v>3304635000</v>
      </c>
    </row>
    <row r="31" spans="1:2" x14ac:dyDescent="0.25">
      <c r="A31" t="s">
        <v>32</v>
      </c>
      <c r="B31" s="13">
        <v>195214000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0.1043399050694318</v>
      </c>
      <c r="C5" s="10">
        <f>Assumptions!B6</f>
        <v>0.1043399050694318</v>
      </c>
      <c r="D5" s="10">
        <f>Assumptions!B6</f>
        <v>0.1043399050694318</v>
      </c>
      <c r="E5" s="10">
        <f>Assumptions!B6</f>
        <v>0.1043399050694318</v>
      </c>
      <c r="F5" s="10">
        <f>Assumptions!B6</f>
        <v>0.1043399050694318</v>
      </c>
    </row>
    <row r="6" spans="1:6" x14ac:dyDescent="0.25">
      <c r="A6" t="s">
        <v>43</v>
      </c>
      <c r="B6" s="18">
        <f>Assumptions!B29*(1+B5)</f>
        <v>354860654830.1529</v>
      </c>
      <c r="C6" s="18">
        <f>B6*(1+C5)</f>
        <v>391886781868.00745</v>
      </c>
      <c r="D6" s="18">
        <f>C6*(1+D5)</f>
        <v>432776211486.08044</v>
      </c>
      <c r="E6" s="18">
        <f>D6*(1+E5)</f>
        <v>477932040308.84644</v>
      </c>
      <c r="F6" s="18">
        <f>E6*(1+F5)</f>
        <v>527799424024.31134</v>
      </c>
    </row>
    <row r="7" spans="1:6" x14ac:dyDescent="0.25">
      <c r="A7" t="s">
        <v>5</v>
      </c>
      <c r="B7" s="10">
        <f>Assumptions!B7</f>
        <v>0.011191385457016641</v>
      </c>
      <c r="C7" s="10">
        <f>Assumptions!B7</f>
        <v>0.011191385457016641</v>
      </c>
      <c r="D7" s="10">
        <f>Assumptions!B7</f>
        <v>0.011191385457016641</v>
      </c>
      <c r="E7" s="10">
        <f>Assumptions!B7</f>
        <v>0.011191385457016641</v>
      </c>
      <c r="F7" s="10">
        <f>Assumptions!B7</f>
        <v>0.011191385457016641</v>
      </c>
    </row>
    <row r="8" spans="1:6" x14ac:dyDescent="0.25">
      <c r="A8" t="s">
        <v>44</v>
      </c>
      <c r="B8" s="18">
        <f>B6*B7</f>
        <v>3971382371.7335753</v>
      </c>
      <c r="C8" s="18">
        <f>C6*C7</f>
        <v>4385756031.394671</v>
      </c>
      <c r="D8" s="18">
        <f>D6*D7</f>
        <v>4843365399.368079</v>
      </c>
      <c r="E8" s="18">
        <f>E6*E7</f>
        <v>5348721685.354715</v>
      </c>
      <c r="F8" s="18">
        <f>F6*F7</f>
        <v>5906806798.2474375</v>
      </c>
    </row>
    <row r="9" spans="1:6" x14ac:dyDescent="0.25">
      <c r="A9" t="s">
        <v>45</v>
      </c>
      <c r="B9" s="18">
        <f>B8*(1-Assumptions!B8)</f>
        <v>3137392073.6695247</v>
      </c>
      <c r="C9" s="18">
        <f>C8*(1-Assumptions!B8)</f>
        <v>3464747264.8017907</v>
      </c>
      <c r="D9" s="18">
        <f>D8*(1-Assumptions!B8)</f>
        <v>3826258665.500783</v>
      </c>
      <c r="E9" s="18">
        <f>E8*(1-Assumptions!B8)</f>
        <v>4225490131.4302254</v>
      </c>
      <c r="F9" s="18">
        <f>F8*(1-Assumptions!B8)</f>
        <v>4666377370.615476</v>
      </c>
    </row>
    <row r="10" spans="1:6" x14ac:dyDescent="0.25">
      <c r="A10" t="s">
        <v>46</v>
      </c>
      <c r="B10" s="18">
        <f>B6*Assumptions!B9</f>
        <v>1228479047.185802</v>
      </c>
      <c r="C10" s="18">
        <f>C6*Assumptions!B9</f>
        <v>1356658434.3489547</v>
      </c>
      <c r="D10" s="18">
        <f>D6*Assumptions!B9</f>
        <v>1498212046.6005685</v>
      </c>
      <c r="E10" s="18">
        <f>E6*Assumptions!B9</f>
        <v>1654535349.316751</v>
      </c>
      <c r="F10" s="18">
        <f>F6*Assumptions!B9</f>
        <v>1827169410.59848</v>
      </c>
    </row>
    <row r="11" spans="1:6" x14ac:dyDescent="0.25">
      <c r="A11" t="s">
        <v>47</v>
      </c>
      <c r="B11" s="18">
        <f>-B6*Assumptions!B10</f>
        <v>-3548606548.301529</v>
      </c>
      <c r="C11" s="18">
        <f>-C6*Assumptions!B10</f>
        <v>-3918867818.6800747</v>
      </c>
      <c r="D11" s="18">
        <f>-D6*Assumptions!B10</f>
        <v>-4327762114.860805</v>
      </c>
      <c r="E11" s="18">
        <f>-E6*Assumptions!B10</f>
        <v>-4779320403.088465</v>
      </c>
      <c r="F11" s="18">
        <f>-F6*Assumptions!B10</f>
        <v>-5277994240.2431135</v>
      </c>
    </row>
    <row r="12" spans="1:6" x14ac:dyDescent="0.25">
      <c r="A12" t="s">
        <v>48</v>
      </c>
      <c r="B12" s="18">
        <f>-(B6-Assumptions!B29)*Assumptions!B11</f>
        <v>315063803.5690306</v>
      </c>
      <c r="C12" s="18">
        <f>-(C6-B6)*Assumptions!B11</f>
        <v>347937530.9242375</v>
      </c>
      <c r="D12" s="18">
        <f>-(D6-C6)*Assumptions!B11</f>
        <v>384241299.8709647</v>
      </c>
      <c r="E12" s="18">
        <f>-(E6-D6)*Assumptions!B11</f>
        <v>424333000.6232566</v>
      </c>
      <c r="F12" s="18">
        <f>-(F6-E6)*Assumptions!B11</f>
        <v>468607865.62611437</v>
      </c>
    </row>
    <row r="13" spans="1:6" x14ac:dyDescent="0.25">
      <c r="A13" s="19" t="s">
        <v>49</v>
      </c>
      <c r="B13" s="20">
        <f>B9+B10+B11+B12</f>
        <v>1132328376.1228282</v>
      </c>
      <c r="C13" s="20">
        <f>C9+C10+C11+C12</f>
        <v>1250475411.3949082</v>
      </c>
      <c r="D13" s="20">
        <f>D9+D10+D11+D12</f>
        <v>1380949897.111512</v>
      </c>
      <c r="E13" s="20">
        <f>E9+E10+E11+E12</f>
        <v>1525038078.2817688</v>
      </c>
      <c r="F13" s="20">
        <f>F9+F10+F11+F12</f>
        <v>1684160406.5969567</v>
      </c>
    </row>
    <row r="14" spans="1:6" x14ac:dyDescent="0.25">
      <c r="A14" t="s">
        <v>50</v>
      </c>
      <c r="B14" s="21">
        <f>1/(1+Assumptions!$B$26)^(1-0.5*Assumptions!$B$32)</f>
        <v>0.9598791704009683</v>
      </c>
      <c r="C14" s="21">
        <f>1/(1+Assumptions!$B$26)^(2-0.5*Assumptions!$B$32)</f>
        <v>0.8844019723702339</v>
      </c>
      <c r="D14" s="21">
        <f>1/(1+Assumptions!$B$26)^(3-0.5*Assumptions!$B$32)</f>
        <v>0.81485969573194</v>
      </c>
      <c r="E14" s="21">
        <f>1/(1+Assumptions!$B$26)^(4-0.5*Assumptions!$B$32)</f>
        <v>0.7507856658763572</v>
      </c>
      <c r="F14" s="21">
        <f>1/(1+Assumptions!$B$26)^(5-0.5*Assumptions!$B$32)</f>
        <v>0.6917499037415095</v>
      </c>
    </row>
    <row r="15" spans="1:6" x14ac:dyDescent="0.25">
      <c r="A15" s="19" t="s">
        <v>51</v>
      </c>
      <c r="B15" s="20">
        <f>B13*B14</f>
        <v>1086898422.294256</v>
      </c>
      <c r="C15" s="20">
        <f>C13*C14</f>
        <v>1105922920.2381365</v>
      </c>
      <c r="D15" s="20">
        <f>D13*D14</f>
        <v>1125280412.9813404</v>
      </c>
      <c r="E15" s="20">
        <f>E13*E14</f>
        <v>1144976729.089578</v>
      </c>
      <c r="F15" s="20">
        <f>F13*F14</f>
        <v>1165017799.1487062</v>
      </c>
    </row>
    <row r="17" spans="1:2" x14ac:dyDescent="0.25">
      <c r="A17" s="22" t="s">
        <v>52</v>
      </c>
      <c r="B17" s="23">
        <f>SUM(B15:F15)</f>
        <v>5628096283.752017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1684160406.5969567</v>
      </c>
    </row>
    <row r="5" spans="1:2" x14ac:dyDescent="0.25">
      <c r="A5" t="s">
        <v>56</v>
      </c>
      <c r="B5" s="18">
        <f>IF(Assumptions!$B$33=0,B4,B4-Forecast!F11-Forecast!F10-Forecast!F12)</f>
        <v>5451078487.119959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0.06283565479325384</v>
      </c>
    </row>
    <row r="7" spans="1:2" x14ac:dyDescent="0.25">
      <c r="A7" t="s">
        <v>58</v>
      </c>
      <c r="B7" s="18">
        <f>-MAX(Forecast!F9,0)*B6</f>
        <v>-342522086.06760216</v>
      </c>
    </row>
    <row r="8" spans="1:2" x14ac:dyDescent="0.25">
      <c r="A8" t="s">
        <v>59</v>
      </c>
      <c r="B8" s="18">
        <f>IF(OR(Assumptions!$B$33=0,Assumptions!B12&lt;=0),B5,MAX(B5+B7,0))</f>
        <v>5108556401.052357</v>
      </c>
    </row>
    <row r="9" spans="1:2" x14ac:dyDescent="0.25">
      <c r="A9" t="s">
        <v>60</v>
      </c>
      <c r="B9" s="18">
        <f>B8*(1+Assumptions!B12)/(Assumptions!B26-Assumptions!B12)</f>
        <v>86775626990.12715</v>
      </c>
    </row>
    <row r="10" spans="1:2" x14ac:dyDescent="0.25">
      <c r="A10" t="s">
        <v>61</v>
      </c>
      <c r="B10" s="18">
        <f>B9/(1+Assumptions!B26)^(5-0.5*Assumptions!B32)</f>
        <v>60027031617.52959</v>
      </c>
    </row>
    <row r="11" spans="1:2" x14ac:dyDescent="0.25">
      <c r="A11" t="s">
        <v>62</v>
      </c>
      <c r="B11" s="18">
        <f>Forecast!B17+B10</f>
        <v>65655127901.2816</v>
      </c>
    </row>
    <row r="12" spans="1:2" x14ac:dyDescent="0.25">
      <c r="A12" t="s">
        <v>63</v>
      </c>
      <c r="B12" s="18">
        <f>-Assumptions!B30</f>
        <v>-3304635000</v>
      </c>
    </row>
    <row r="13" spans="1:2" x14ac:dyDescent="0.25">
      <c r="A13" t="s">
        <v>64</v>
      </c>
      <c r="B13" s="18">
        <f>B11+B12</f>
        <v>62350492901.2816</v>
      </c>
    </row>
    <row r="14" spans="1:2" x14ac:dyDescent="0.25">
      <c r="A14" s="19" t="s">
        <v>65</v>
      </c>
      <c r="B14" s="24">
        <f>B13/Assumptions!B31</f>
        <v>319.39560124418125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7733976208.845918</v>
      </c>
    </row>
    <row r="18" spans="1:2" x14ac:dyDescent="0.25">
      <c r="A18" t="s">
        <v>60</v>
      </c>
      <c r="B18" s="18">
        <f>B17*Assumptions!B13</f>
        <v>96215142486.48387</v>
      </c>
    </row>
    <row r="19" spans="1:2" x14ac:dyDescent="0.25">
      <c r="A19" t="s">
        <v>61</v>
      </c>
      <c r="B19" s="18">
        <f>B18/(1+Assumptions!B26)^(5-0.5*Assumptions!B32)</f>
        <v>66556815553.50084</v>
      </c>
    </row>
    <row r="20" spans="1:2" x14ac:dyDescent="0.25">
      <c r="A20" t="s">
        <v>62</v>
      </c>
      <c r="B20" s="18">
        <f>Forecast!B17+B19</f>
        <v>72184911837.25285</v>
      </c>
    </row>
    <row r="21" spans="1:2" x14ac:dyDescent="0.25">
      <c r="A21" t="s">
        <v>63</v>
      </c>
      <c r="B21" s="18">
        <f>-Assumptions!B30</f>
        <v>-3304635000</v>
      </c>
    </row>
    <row r="22" spans="1:2" x14ac:dyDescent="0.25">
      <c r="A22" t="s">
        <v>64</v>
      </c>
      <c r="B22" s="18">
        <f>B20+B21</f>
        <v>68880276837.25285</v>
      </c>
    </row>
    <row r="23" spans="1:2" x14ac:dyDescent="0.25">
      <c r="A23" s="19" t="s">
        <v>65</v>
      </c>
      <c r="B23" s="25">
        <f>B22/Assumptions!B31</f>
        <v>352.8449641790694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308.78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319.39560124418125</v>
      </c>
    </row>
    <row r="29" spans="1:2" x14ac:dyDescent="0.25">
      <c r="A29" s="19" t="s">
        <v>73</v>
      </c>
      <c r="B29" s="12">
        <f>B28/B26-1</f>
        <v>0.03437917366468457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0.065343</v>
      </c>
      <c r="B5" s="31">
        <v>420.7837258089836</v>
      </c>
      <c r="C5" s="31">
        <v>462.0079835638217</v>
      </c>
      <c r="D5" s="31">
        <v>513.3852586567198</v>
      </c>
      <c r="E5" s="31">
        <v>579.2246154022781</v>
      </c>
      <c r="F5" s="31">
        <v>666.6753542912154</v>
      </c>
    </row>
    <row r="6" spans="1:6" x14ac:dyDescent="0.25">
      <c r="A6" s="30">
        <v>0.075343</v>
      </c>
      <c r="B6" s="31">
        <v>338.54500338432376</v>
      </c>
      <c r="C6" s="31">
        <v>365.08020364032865</v>
      </c>
      <c r="D6" s="31">
        <v>396.8360159203203</v>
      </c>
      <c r="E6" s="31">
        <v>435.53948034867966</v>
      </c>
      <c r="F6" s="31">
        <v>483.77381538277257</v>
      </c>
    </row>
    <row r="7" spans="1:6" x14ac:dyDescent="0.25">
      <c r="A7" s="30">
        <v>0.085343</v>
      </c>
      <c r="B7" s="31">
        <v>280.11208682262514</v>
      </c>
      <c r="C7" s="31">
        <v>298.2683717239924</v>
      </c>
      <c r="D7" s="32">
        <v>319.39327546616045</v>
      </c>
      <c r="E7" s="31">
        <v>344.2914035568181</v>
      </c>
      <c r="F7" s="31">
        <v>374.0870109117894</v>
      </c>
    </row>
    <row r="8" spans="1:6" x14ac:dyDescent="0.25">
      <c r="A8" s="30">
        <v>0.095343</v>
      </c>
      <c r="B8" s="31">
        <v>236.57441701491146</v>
      </c>
      <c r="C8" s="31">
        <v>249.55839272727084</v>
      </c>
      <c r="D8" s="31">
        <v>264.3550636882865</v>
      </c>
      <c r="E8" s="31">
        <v>281.3805483609898</v>
      </c>
      <c r="F8" s="31">
        <v>301.1888829330959</v>
      </c>
    </row>
    <row r="9" spans="1:6" x14ac:dyDescent="0.25">
      <c r="A9" s="30">
        <v>0.105343</v>
      </c>
      <c r="B9" s="31">
        <v>202.96791661925533</v>
      </c>
      <c r="C9" s="31">
        <v>212.56846311305767</v>
      </c>
      <c r="D9" s="31">
        <v>223.3361239786082</v>
      </c>
      <c r="E9" s="31">
        <v>235.5032594295462</v>
      </c>
      <c r="F9" s="31">
        <v>249.3682945938986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321332819000</v>
      </c>
      <c r="C5" s="18">
        <v>293958599000</v>
      </c>
      <c r="D5" s="18">
        <v>262173411000</v>
      </c>
      <c r="E5" s="18">
        <v>238587006000</v>
      </c>
      <c r="F5" s="8" t="s">
        <v>84</v>
      </c>
    </row>
    <row r="6" spans="1:6" x14ac:dyDescent="0.25">
      <c r="A6" t="s">
        <v>44</v>
      </c>
      <c r="B6" s="18">
        <v>3933622000</v>
      </c>
      <c r="C6" s="18">
        <v>3156949000</v>
      </c>
      <c r="D6" s="18">
        <v>2685605000</v>
      </c>
      <c r="E6" s="18">
        <v>2753510000</v>
      </c>
      <c r="F6" s="8" t="s">
        <v>85</v>
      </c>
    </row>
    <row r="7" spans="1:6" x14ac:dyDescent="0.25">
      <c r="A7" t="s">
        <v>86</v>
      </c>
      <c r="B7" s="18">
        <v>1068416000</v>
      </c>
      <c r="C7" s="18">
        <v>1118842000</v>
      </c>
      <c r="D7" s="18">
        <v>980848000</v>
      </c>
      <c r="E7" s="18">
        <v>709835000</v>
      </c>
      <c r="F7" s="8" t="s">
        <v>87</v>
      </c>
    </row>
    <row r="8" spans="1:6" x14ac:dyDescent="0.25">
      <c r="A8" t="s">
        <v>88</v>
      </c>
      <c r="B8" s="18">
        <v>667981000</v>
      </c>
      <c r="C8" s="18">
        <v>487173000</v>
      </c>
      <c r="D8" s="18">
        <v>458359000</v>
      </c>
      <c r="E8" s="18">
        <v>496318000</v>
      </c>
      <c r="F8" s="8" t="s">
        <v>89</v>
      </c>
    </row>
    <row r="9" spans="1:6" x14ac:dyDescent="0.25">
      <c r="A9" t="s">
        <v>90</v>
      </c>
      <c r="B9" s="18">
        <v>-35424000</v>
      </c>
      <c r="C9" s="18">
        <v>-298688000</v>
      </c>
      <c r="D9" s="18">
        <v>-874542000</v>
      </c>
      <c r="E9" s="18">
        <v>139662000</v>
      </c>
      <c r="F9" s="8" t="s">
        <v>91</v>
      </c>
    </row>
    <row r="10" spans="1:6" x14ac:dyDescent="0.25">
      <c r="A10" t="s">
        <v>92</v>
      </c>
      <c r="B10" s="18">
        <v>7660773000</v>
      </c>
      <c r="C10" s="18">
        <v>4388076000</v>
      </c>
      <c r="D10" s="18">
        <v>4787457000</v>
      </c>
      <c r="E10" s="18">
        <v>5702833000</v>
      </c>
      <c r="F10" s="8" t="s">
        <v>93</v>
      </c>
    </row>
    <row r="11" spans="1:6" x14ac:dyDescent="0.25">
      <c r="A11" t="s">
        <v>94</v>
      </c>
      <c r="B11" s="18">
        <v>4356138000</v>
      </c>
      <c r="C11" s="18">
        <v>3132648000</v>
      </c>
      <c r="D11" s="18">
        <v>2592051000</v>
      </c>
      <c r="E11" s="18">
        <v>3388189000</v>
      </c>
      <c r="F11" s="8" t="s">
        <v>95</v>
      </c>
    </row>
    <row r="12" spans="1:6" x14ac:dyDescent="0.25">
      <c r="A12" t="s">
        <v>32</v>
      </c>
      <c r="B12" s="34">
        <v>195214000</v>
      </c>
      <c r="C12" s="34">
        <v>200284000</v>
      </c>
      <c r="D12" s="34">
        <v>204591000</v>
      </c>
      <c r="E12" s="34">
        <v>211210000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