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<sst xmlns="http://schemas.openxmlformats.org/spreadsheetml/2006/main" count="121" uniqueCount="108">
  <si>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Cencora, Inc. (COR)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</si>
  <si>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</si>
  <si>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</si>
  <si>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</si>
  <si>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</si>
  <si>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</si>
  <si>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</si>
  <si>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</si>
  <si>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</si>
  <si>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</si>
  <si>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</si>
  <si>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</si>
  <si>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</si>
  <si>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</si>
  <si>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</si>
  <si>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</si>
  <si>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</si>
  <si>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</si>
  <si>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</si>
  <si>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</si>
  <si>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</si>
  <si>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</si>
  <si>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</si>
  <si>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</si>
  <si>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</si>
  <si>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</si>
  <si>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</si>
  <si>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</si>
  <si>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</si>
  <si>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</si>
  <si>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</si>
  <si>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</si>
  <si>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</si>
  <si>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</si>
  <si>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</si>
  <si>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</si>
  <si>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</si>
  <si>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</si>
  <si>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</si>
  <si>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</si>
  <si>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</si>
  <si>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</si>
  <si>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</si>
  <si>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</si>
  <si>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</si>
  <si>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</si>
  <si>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</si>
  <si>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</si>
  <si>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</si>
  <si>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</si>
  <si>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</si>
  <si>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</si>
  <si>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</si>
  <si>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</si>
  <si>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</si>
  <si>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</si>
  <si>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</si>
  <si>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</si>
  <si>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</si>
  <si>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</si>
  <si>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</si>
  <si>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</si>
  <si>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</si>
  <si>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</si>
  <si>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</si>
  <si>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</si>
  <si>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</si>
  <si>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</si>
  <si>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</si>
  <si>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</si>
  <si>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</si>
  <si>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</si>
  <si>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</si>
  <si>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</si>
  <si>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</si>
  <si>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</si>
  <si>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</si>
  <si>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</si>
  <si>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</si>
  <si>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</si>
  <si>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</si>
  <si>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</si>
  <si>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</si>
  <si>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</si>
  <si>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</si>
  <si>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</si>
  <si>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</si>
  <si>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</si>
  <si>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</si>
  <si>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</si>
  <si>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</si>
  <si>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</si>
  <si>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</si>
  <si>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</si>
  <si>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</si>
  <si>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</si>
  <si>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</si>
  <si>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</si>
  <si>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</si>
  <si>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</si>
  <si>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</si>
  <si>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</si>
  <si>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</si>
  <si>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</si>
  <si>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</si>
  <si>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0.19%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</si>
  <si>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Capital expenditure runs at 1.0% of revenue against depreciation of 0.3%.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</si>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</sst>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0.048851862311642735</v>
      </c>
    </row>
    <row r="7" spans="1:2" x14ac:dyDescent="0.25">
      <c r="A7" t="s">
        <v>4</v>
      </c>
      <c r="B7" s="5">
        <v>0.011191385457016641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0.0034618632143757653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-0.027736253762421566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13.282164735253911</v>
      </c>
    </row>
    <row r="14" spans="1:3" x14ac:dyDescent="0.25">
      <c r="A14" t="s">
        <v>12</v>
      </c>
      <c r="B14" s="5">
        <v>0.3978632845039446</v>
      </c>
      <c r="C14" s="6" t="s">
        <v>13</v>
      </c>
    </row>
    <row r="15" spans="1:3" x14ac:dyDescent="0.25">
      <c r="A15" t="s">
        <v>14</v>
      </c>
      <c r="B15" s="5">
        <v>0.0015799124063135591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0.71927</v>
      </c>
      <c r="C19" s="6" t="s">
        <v>21</v>
      </c>
    </row>
    <row r="20" spans="1:2" x14ac:dyDescent="0.25">
      <c r="A20" t="s">
        <v>22</v>
      </c>
      <c r="B20" s="9">
        <f>B17+B19*B18</f>
        <v>0.079365121</v>
      </c>
    </row>
    <row r="21" spans="1:3" x14ac:dyDescent="0.25">
      <c r="A21" t="s">
        <v>23</v>
      </c>
      <c r="B21" s="5">
        <v>0.06967520300071817</v>
      </c>
      <c r="C21" s="6" t="s">
        <v>24</v>
      </c>
    </row>
    <row r="22" spans="1:2" x14ac:dyDescent="0.25">
      <c r="A22" t="s">
        <v>25</v>
      </c>
      <c r="B22" s="10">
        <v>63133257728</v>
      </c>
    </row>
    <row r="23" spans="1:2" x14ac:dyDescent="0.25">
      <c r="A23" t="s">
        <v>26</v>
      </c>
      <c r="B23" s="10">
        <v>7660773000</v>
      </c>
    </row>
    <row r="24" spans="1:2" x14ac:dyDescent="0.25">
      <c r="A24" t="s">
        <v>27</v>
      </c>
      <c r="B24" s="9">
        <f>B22/(B22+B23)</f>
        <v>0.8917878679710483</v>
      </c>
    </row>
    <row r="25" spans="1:2" x14ac:dyDescent="0.25">
      <c r="A25" t="s">
        <v>28</v>
      </c>
      <c r="B25" s="9">
        <f>1-B24</f>
        <v>0.10821213202895175</v>
      </c>
    </row>
    <row r="26" spans="1:2" x14ac:dyDescent="0.25">
      <c r="A26" t="s">
        <v>29</v>
      </c>
      <c r="B26" s="11">
        <f>B24*B20+B25*B21*(1-B8)</f>
        <v>0.07673321683819787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321332819000</v>
      </c>
      <c r="C29" s="6" t="s">
        <v>32</v>
      </c>
    </row>
    <row r="30" spans="1:2" x14ac:dyDescent="0.25">
      <c r="A30" t="s">
        <v>33</v>
      </c>
      <c r="B30" s="10">
        <v>3304635000</v>
      </c>
    </row>
    <row r="31" spans="1:2" x14ac:dyDescent="0.25">
      <c r="A31" t="s">
        <v>34</v>
      </c>
      <c r="B31" s="12">
        <v>195214000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0.048851862311642735</v>
      </c>
      <c r="C5" s="5">
        <v>0.043473588994977996</v>
      </c>
      <c r="D5" s="5">
        <v>0.04116439037060575</v>
      </c>
      <c r="E5" s="5">
        <v>0.038855191746233496</v>
      </c>
      <c r="F5" s="5">
        <v>0.03654599312186125</v>
      </c>
      <c r="G5" s="5">
        <v>0.034236794497488995</v>
      </c>
      <c r="H5" s="5">
        <v>0.03192759587311675</v>
      </c>
      <c r="I5" s="5">
        <v>0.029618397248744502</v>
      </c>
      <c r="J5" s="5">
        <v>0.02730919862437225</v>
      </c>
      <c r="K5" s="5">
        <v>0.025</v>
      </c>
    </row>
    <row r="6" spans="1:11" x14ac:dyDescent="0.25">
      <c r="A6" t="s">
        <v>50</v>
      </c>
      <c r="B6" s="18">
        <f>Assumptions!B29*(1+B5)</f>
        <v>337030525630</v>
      </c>
      <c r="C6" s="18">
        <f>B6*(1+C5)</f>
        <v>351682452180</v>
      </c>
      <c r="D6" s="18">
        <f>C6*(1+D5)</f>
        <v>366159245928.0294</v>
      </c>
      <c r="E6" s="18">
        <f>D6*(1+E5)</f>
        <v>380386433638.21924</v>
      </c>
      <c r="F6" s="18">
        <f>E6*(1+F5)</f>
        <v>394288033625.6109</v>
      </c>
      <c r="G6" s="18">
        <f>F6*(1+G5)</f>
        <v>407787192005.67</v>
      </c>
      <c r="H6" s="18">
        <f>G6*(1+H5)</f>
        <v>420806856674.2601</v>
      </c>
      <c r="I6" s="18">
        <f>H6*(1+I5)</f>
        <v>433270481320.23376</v>
      </c>
      <c r="J6" s="18">
        <f>I6*(1+J5)</f>
        <v>445102750952.6854</v>
      </c>
      <c r="K6" s="18">
        <f>J6*(1+K5)</f>
        <v>456230319726.5025</v>
      </c>
    </row>
    <row r="7" spans="1:11" x14ac:dyDescent="0.25">
      <c r="A7" t="s">
        <v>4</v>
      </c>
      <c r="B7" s="9">
        <f>Assumptions!B7</f>
        <v>0.011191385457016641</v>
      </c>
      <c r="C7" s="9">
        <f>Assumptions!B7</f>
        <v>0.011191385457016641</v>
      </c>
      <c r="D7" s="9">
        <f>Assumptions!B7</f>
        <v>0.011191385457016641</v>
      </c>
      <c r="E7" s="9">
        <f>Assumptions!B7</f>
        <v>0.011191385457016641</v>
      </c>
      <c r="F7" s="9">
        <f>Assumptions!B7</f>
        <v>0.011191385457016641</v>
      </c>
      <c r="G7" s="9">
        <f>Assumptions!B7</f>
        <v>0.011191385457016641</v>
      </c>
      <c r="H7" s="9">
        <f>Assumptions!B7</f>
        <v>0.011191385457016641</v>
      </c>
      <c r="I7" s="9">
        <f>Assumptions!B7</f>
        <v>0.011191385457016641</v>
      </c>
      <c r="J7" s="9">
        <f>Assumptions!B7</f>
        <v>0.011191385457016641</v>
      </c>
      <c r="K7" s="9">
        <f>Assumptions!B7</f>
        <v>0.011191385457016641</v>
      </c>
    </row>
    <row r="8" spans="1:11" x14ac:dyDescent="0.25">
      <c r="A8" t="s">
        <v>51</v>
      </c>
      <c r="B8" s="18">
        <f>B6*B7</f>
        <v>3771838523.1062565</v>
      </c>
      <c r="C8" s="18">
        <f>C6*C7</f>
        <v>3935813880.815202</v>
      </c>
      <c r="D8" s="18">
        <f>D6*D7</f>
        <v>4097829259.831128</v>
      </c>
      <c r="E8" s="18">
        <f>E6*E7</f>
        <v>4257051201.4651923</v>
      </c>
      <c r="F8" s="18">
        <f>F6*F7</f>
        <v>4412629365.393351</v>
      </c>
      <c r="G8" s="18">
        <f>G6*G7</f>
        <v>4563703650.169908</v>
      </c>
      <c r="H8" s="18">
        <f>H6*H7</f>
        <v>4709411735.9972</v>
      </c>
      <c r="I8" s="18">
        <f>I6*I7</f>
        <v>4848896963.601865</v>
      </c>
      <c r="J8" s="18">
        <f>J6*J7</f>
        <v>4981316453.889984</v>
      </c>
      <c r="K8" s="18">
        <f>K6*K7</f>
        <v>5105849365.237232</v>
      </c>
    </row>
    <row r="9" spans="1:11" x14ac:dyDescent="0.25">
      <c r="A9" t="s">
        <v>52</v>
      </c>
      <c r="B9" s="18">
        <f>B8*(1-Assumptions!B8)</f>
        <v>2979752433.253943</v>
      </c>
      <c r="C9" s="18">
        <f>C8*(1-Assumptions!B8)</f>
        <v>3109292965.84401</v>
      </c>
      <c r="D9" s="18">
        <f>D8*(1-Assumptions!B8)</f>
        <v>3237285115.2665915</v>
      </c>
      <c r="E9" s="18">
        <f>E8*(1-Assumptions!B8)</f>
        <v>3363070449.157502</v>
      </c>
      <c r="F9" s="18">
        <f>F8*(1-Assumptions!B8)</f>
        <v>3485977198.660747</v>
      </c>
      <c r="G9" s="18">
        <f>G8*(1-Assumptions!B8)</f>
        <v>3605325883.6342273</v>
      </c>
      <c r="H9" s="18">
        <f>H8*(1-Assumptions!B8)</f>
        <v>3720435271.437788</v>
      </c>
      <c r="I9" s="18">
        <f>I8*(1-Assumptions!B8)</f>
        <v>3830628601.2454734</v>
      </c>
      <c r="J9" s="18">
        <f>J8*(1-Assumptions!B8)</f>
        <v>3935239998.5730877</v>
      </c>
      <c r="K9" s="18">
        <f>K8*(1-Assumptions!B8)</f>
        <v>4033620998.5374136</v>
      </c>
    </row>
    <row r="10" spans="1:11" x14ac:dyDescent="0.25">
      <c r="A10" t="s">
        <v>53</v>
      </c>
      <c r="B10" s="18">
        <f>B6*Assumptions!B9</f>
        <v>1166753578.8002255</v>
      </c>
      <c r="C10" s="18">
        <f>C6*Assumptions!B9</f>
        <v>1217476544.3434062</v>
      </c>
      <c r="D10" s="18">
        <f>D6*Assumptions!B9</f>
        <v>1267593224.0818143</v>
      </c>
      <c r="E10" s="18">
        <f>E6*Assumptions!B9</f>
        <v>1316845801.8597393</v>
      </c>
      <c r="F10" s="18">
        <f>F6*Assumptions!B9</f>
        <v>1364971239.4770572</v>
      </c>
      <c r="G10" s="18">
        <f>G6*Assumptions!B9</f>
        <v>1411703479.298016</v>
      </c>
      <c r="H10" s="18">
        <f>H6*Assumptions!B9</f>
        <v>1456775777.477716</v>
      </c>
      <c r="I10" s="18">
        <f>I6*Assumptions!B9</f>
        <v>1499923141.1573994</v>
      </c>
      <c r="J10" s="18">
        <f>J6*Assumptions!B9</f>
        <v>1540884840.1405592</v>
      </c>
      <c r="K10" s="18">
        <f>K6*Assumptions!B9</f>
        <v>1579406961.144073</v>
      </c>
    </row>
    <row r="11" spans="1:11" x14ac:dyDescent="0.25">
      <c r="A11" t="s">
        <v>54</v>
      </c>
      <c r="B11" s="18">
        <f>-B6*B19</f>
        <v>-3370305256.3</v>
      </c>
      <c r="C11" s="18">
        <f>-C6*C19</f>
        <v>-3213161377.9932675</v>
      </c>
      <c r="D11" s="18">
        <f>-D6*D19</f>
        <v>-3029265955.2811766</v>
      </c>
      <c r="E11" s="18">
        <f>-E6*E19</f>
        <v>-2818520829.0448494</v>
      </c>
      <c r="F11" s="18">
        <f>-F6*F19</f>
        <v>-2581075183.7505565</v>
      </c>
      <c r="G11" s="18">
        <f>-G6*G19</f>
        <v>-2317335675.484816</v>
      </c>
      <c r="H11" s="18">
        <f>-H6*H19</f>
        <v>-2027973445.572342</v>
      </c>
      <c r="I11" s="18">
        <f>-I6*I19</f>
        <v>-1713927761.27502</v>
      </c>
      <c r="J11" s="18">
        <f>-J6*J19</f>
        <v>-1376406075.7081702</v>
      </c>
      <c r="K11" s="18">
        <f>-K6*K19</f>
        <v>-1016880356.3928549</v>
      </c>
    </row>
    <row r="12" spans="1:11" x14ac:dyDescent="0.25">
      <c r="A12" t="s">
        <v>55</v>
      </c>
      <c r="B12" s="18">
        <f>-(B6-Assumptions!B29)*Assumptions!B11</f>
        <v>435395574.57772744</v>
      </c>
      <c r="C12" s="18">
        <f>-(C6-B6)*Assumptions!B11</f>
        <v>406389552.89916193</v>
      </c>
      <c r="D12" s="18">
        <f>-(D6-C6)*Assumptions!B11</f>
        <v>401532025.06158197</v>
      </c>
      <c r="E12" s="18">
        <f>-(E6-D6)*Assumptions!B11</f>
        <v>394608888.65543026</v>
      </c>
      <c r="F12" s="18">
        <f>-(F6-E6)*Assumptions!B11</f>
        <v>385578304.95397156</v>
      </c>
      <c r="G12" s="18">
        <f>-(G6-F6)*Assumptions!B11</f>
        <v>374416082.4084383</v>
      </c>
      <c r="H12" s="18">
        <f>-(H6-G6)*Assumptions!B11</f>
        <v>361116723.14964896</v>
      </c>
      <c r="I12" s="18">
        <f>-(I6-H6)*Assumptions!B11</f>
        <v>345694255.98029804</v>
      </c>
      <c r="J12" s="18">
        <f>-(J6-I6)*Assumptions!B11</f>
        <v>328182833.1110738</v>
      </c>
      <c r="K12" s="18">
        <f>-(K6-J6)*Assumptions!B11</f>
        <v>308637071.2693887</v>
      </c>
    </row>
    <row r="13" spans="1:11" x14ac:dyDescent="0.25">
      <c r="A13" s="19" t="s">
        <v>56</v>
      </c>
      <c r="B13" s="20">
        <f>B9+B10+B11+B12</f>
        <v>1211596330.3318958</v>
      </c>
      <c r="C13" s="20">
        <f>C9+C10+C11+C12</f>
        <v>1519997685.0933104</v>
      </c>
      <c r="D13" s="20">
        <f>D9+D10+D11+D12</f>
        <v>1877144409.1288114</v>
      </c>
      <c r="E13" s="20">
        <f>E9+E10+E11+E12</f>
        <v>2256004310.6278224</v>
      </c>
      <c r="F13" s="20">
        <f>F9+F10+F11+F12</f>
        <v>2655451559.341219</v>
      </c>
      <c r="G13" s="20">
        <f>G9+G10+G11+G12</f>
        <v>3074109769.8558655</v>
      </c>
      <c r="H13" s="20">
        <f>H9+H10+H11+H12</f>
        <v>3510354326.4928117</v>
      </c>
      <c r="I13" s="20">
        <f>I9+I10+I11+I12</f>
        <v>3962318237.1081514</v>
      </c>
      <c r="J13" s="20">
        <f>J9+J10+J11+J12</f>
        <v>4427901596.11655</v>
      </c>
      <c r="K13" s="20">
        <f>K9+K10+K11+K12</f>
        <v>4904784674.55802</v>
      </c>
    </row>
    <row r="14" spans="1:11" x14ac:dyDescent="0.25">
      <c r="A14" t="s">
        <v>57</v>
      </c>
      <c r="B14" s="21">
        <f>1/(1+Assumptions!$B$26)^(1-0.5*Assumptions!$B$32)</f>
        <v>0.9637090657076742</v>
      </c>
      <c r="C14" s="21">
        <f>1/(1+Assumptions!$B$26)^(2-0.5*Assumptions!$B$32)</f>
        <v>0.8950304965398796</v>
      </c>
      <c r="D14" s="21">
        <f>1/(1+Assumptions!$B$26)^(3-0.5*Assumptions!$B$32)</f>
        <v>0.8312462943867526</v>
      </c>
      <c r="E14" s="21">
        <f>1/(1+Assumptions!$B$26)^(4-0.5*Assumptions!$B$32)</f>
        <v>0.7720076629823757</v>
      </c>
      <c r="F14" s="21">
        <f>1/(1+Assumptions!$B$26)^(5-0.5*Assumptions!$B$32)</f>
        <v>0.7169906629697543</v>
      </c>
      <c r="G14" s="21">
        <f>1/(1+Assumptions!$B$26)^(6-0.5*Assumptions!$B$32)</f>
        <v>0.6658944404772622</v>
      </c>
      <c r="H14" s="21">
        <f>1/(1+Assumptions!$B$26)^(7-0.5*Assumptions!$B$32)</f>
        <v>0.6184395819352967</v>
      </c>
      <c r="I14" s="21">
        <f>1/(1+Assumptions!$B$26)^(8-0.5*Assumptions!$B$32)</f>
        <v>0.5743665861366571</v>
      </c>
      <c r="J14" s="21">
        <f>1/(1+Assumptions!$B$26)^(9-0.5*Assumptions!$B$32)</f>
        <v>0.5334344451852905</v>
      </c>
      <c r="K14" s="21">
        <f>1/(1+Assumptions!$B$26)^(10-0.5*Assumptions!$B$32)</f>
        <v>0.4954193265734928</v>
      </c>
    </row>
    <row r="15" spans="1:11" x14ac:dyDescent="0.25">
      <c r="A15" s="19" t="s">
        <v>58</v>
      </c>
      <c r="B15" s="20">
        <f>B13*B14</f>
        <v>1167626367.518998</v>
      </c>
      <c r="C15" s="20">
        <f>C13*C14</f>
        <v>1360444282.8285332</v>
      </c>
      <c r="D15" s="20">
        <f>D13*D14</f>
        <v>1560369334.1171346</v>
      </c>
      <c r="E15" s="20">
        <f>E13*E14</f>
        <v>1741652615.5259507</v>
      </c>
      <c r="F15" s="20">
        <f>F13*F14</f>
        <v>1903933974.0161285</v>
      </c>
      <c r="G15" s="20">
        <f>G13*G14</f>
        <v>2047032605.1638567</v>
      </c>
      <c r="H15" s="20">
        <f>H13*H14</f>
        <v>2170942062.1209745</v>
      </c>
      <c r="I15" s="20">
        <f>I13*I14</f>
        <v>2275823199.0348268</v>
      </c>
      <c r="J15" s="20">
        <f>J13*J14</f>
        <v>2361995231.2594943</v>
      </c>
      <c r="K15" s="20">
        <f>K13*K14</f>
        <v>2429925120.457522</v>
      </c>
    </row>
    <row r="17" spans="1:2" x14ac:dyDescent="0.25">
      <c r="A17" s="22" t="s">
        <v>59</v>
      </c>
      <c r="B17" s="23">
        <f>SUM(B15:K15)</f>
        <v>19019744792.04342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0.009136541667278553</v>
      </c>
      <c r="D19" s="9">
        <f>Assumptions!$B$10+($B$20-Assumptions!$B$10)*2/9</f>
        <v>0.008273083334557105</v>
      </c>
      <c r="E19" s="9">
        <f>Assumptions!$B$10+($B$20-Assumptions!$B$10)*3/9</f>
        <v>0.007409625001835657</v>
      </c>
      <c r="F19" s="9">
        <f>Assumptions!$B$10+($B$20-Assumptions!$B$10)*4/9</f>
        <v>0.006546166669114209</v>
      </c>
      <c r="G19" s="9">
        <f>Assumptions!$B$10+($B$20-Assumptions!$B$10)*5/9</f>
        <v>0.005682708336392761</v>
      </c>
      <c r="H19" s="9">
        <f>Assumptions!$B$10+($B$20-Assumptions!$B$10)*6/9</f>
        <v>0.004819250003671314</v>
      </c>
      <c r="I19" s="9">
        <f>Assumptions!$B$10+($B$20-Assumptions!$B$10)*7/9</f>
        <v>0.003955791670949865</v>
      </c>
      <c r="J19" s="9">
        <f>Assumptions!$B$10+($B$20-Assumptions!$B$10)*8/9</f>
        <v>0.0030923333382284184</v>
      </c>
      <c r="K19" s="9">
        <f>Assumptions!$B$10+($B$20-Assumptions!$B$10)*9/9</f>
        <v>0.00222887500550697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0.00222887500550697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4904784674.55802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4711917383.446112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0.06283565479325384</v>
      </c>
    </row>
    <row r="7" spans="1:2" x14ac:dyDescent="0.25">
      <c r="A7" t="s">
        <v>66</v>
      </c>
      <c r="B7" s="18">
        <f>-MAX(B5,0)*B6</f>
        <v>-296076414.12055176</v>
      </c>
    </row>
    <row r="8" spans="1:2" x14ac:dyDescent="0.25">
      <c r="A8" t="s">
        <v>67</v>
      </c>
      <c r="B8" s="18">
        <f>IF(OR(Assumptions!$B$33=0,Assumptions!B12&lt;=0),B5,MAX(B5+B7,0))</f>
        <v>4415840969.32556</v>
      </c>
    </row>
    <row r="9" spans="1:2" x14ac:dyDescent="0.25">
      <c r="A9" t="s">
        <v>68</v>
      </c>
      <c r="B9" s="18">
        <f>B8*(1+Assumptions!B12)/(Assumptions!B26-Assumptions!B12)</f>
        <v>87491891480.769</v>
      </c>
    </row>
    <row r="10" spans="1:2" x14ac:dyDescent="0.25">
      <c r="A10" t="s">
        <v>69</v>
      </c>
      <c r="B10" s="18">
        <f>B9/(1+Assumptions!B26)^(10-0.5*Assumptions!B32)</f>
        <v>43345173958.043686</v>
      </c>
    </row>
    <row r="11" spans="1:2" x14ac:dyDescent="0.25">
      <c r="A11" t="s">
        <v>70</v>
      </c>
      <c r="B11" s="18">
        <f>Forecast!B17+B10</f>
        <v>62364918750.087105</v>
      </c>
    </row>
    <row r="12" spans="1:2" x14ac:dyDescent="0.25">
      <c r="A12" t="s">
        <v>71</v>
      </c>
      <c r="B12" s="18">
        <f>-Assumptions!B30</f>
        <v>-3304635000</v>
      </c>
    </row>
    <row r="13" spans="1:2" x14ac:dyDescent="0.25">
      <c r="A13" t="s">
        <v>72</v>
      </c>
      <c r="B13" s="18">
        <f>B11+B12</f>
        <v>59060283750.087105</v>
      </c>
    </row>
    <row r="14" spans="1:2" x14ac:dyDescent="0.25">
      <c r="A14" s="19" t="s">
        <v>73</v>
      </c>
      <c r="B14" s="24">
        <f>B13/Assumptions!B31</f>
        <v>302.54123039375816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6685256326.381306</v>
      </c>
    </row>
    <row r="18" spans="1:2" x14ac:dyDescent="0.25">
      <c r="A18" t="s">
        <v>68</v>
      </c>
      <c r="B18" s="18">
        <f>B17*Assumptions!B13</f>
        <v>88794675824.39488</v>
      </c>
    </row>
    <row r="19" spans="1:2" x14ac:dyDescent="0.25">
      <c r="A19" t="s">
        <v>69</v>
      </c>
      <c r="B19" s="18">
        <f>B18/(1+Assumptions!B26)^(10-0.5*Assumptions!B32)</f>
        <v>43990598500.233315</v>
      </c>
    </row>
    <row r="20" spans="1:2" x14ac:dyDescent="0.25">
      <c r="A20" t="s">
        <v>70</v>
      </c>
      <c r="B20" s="18">
        <f>Forecast!B17+B19</f>
        <v>63010343292.27673</v>
      </c>
    </row>
    <row r="21" spans="1:2" x14ac:dyDescent="0.25">
      <c r="A21" t="s">
        <v>71</v>
      </c>
      <c r="B21" s="18">
        <f>-Assumptions!B30</f>
        <v>-3304635000</v>
      </c>
    </row>
    <row r="22" spans="1:2" x14ac:dyDescent="0.25">
      <c r="A22" t="s">
        <v>72</v>
      </c>
      <c r="B22" s="18">
        <f>B20+B21</f>
        <v>59705708292.27673</v>
      </c>
    </row>
    <row r="23" spans="1:2" x14ac:dyDescent="0.25">
      <c r="A23" s="19" t="s">
        <v>73</v>
      </c>
      <c r="B23" s="25">
        <f>B22/Assumptions!B31</f>
        <v>305.8474714532602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330.84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302.54123039375816</v>
      </c>
    </row>
    <row r="29" spans="1:2" x14ac:dyDescent="0.25">
      <c r="A29" s="19" t="s">
        <v>81</v>
      </c>
      <c r="B29" s="11">
        <f>B28/B26-1</f>
        <v>-0.08553611898876134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0.056733</v>
      </c>
      <c r="B5" s="31">
        <v>427.8287822507456</v>
      </c>
      <c r="C5" s="31">
        <v>469.2713382079996</v>
      </c>
      <c r="D5" s="31">
        <v>524.0212323447045</v>
      </c>
      <c r="E5" s="31">
        <v>599.5452687117245</v>
      </c>
      <c r="F5" s="31">
        <v>710.181648820804</v>
      </c>
    </row>
    <row r="6" spans="1:6" x14ac:dyDescent="0.25">
      <c r="A6" s="30">
        <v>0.066733</v>
      </c>
      <c r="B6" s="31">
        <v>334.28682881937345</v>
      </c>
      <c r="C6" s="31">
        <v>357.53624352763876</v>
      </c>
      <c r="D6" s="31">
        <v>386.53445705304864</v>
      </c>
      <c r="E6" s="31">
        <v>423.62900382669176</v>
      </c>
      <c r="F6" s="31">
        <v>472.64697232817923</v>
      </c>
    </row>
    <row r="7" spans="1:6" x14ac:dyDescent="0.25">
      <c r="A7" s="30">
        <v>0.076733</v>
      </c>
      <c r="B7" s="31">
        <v>271.40471924472314</v>
      </c>
      <c r="C7" s="31">
        <v>285.53975397041773</v>
      </c>
      <c r="D7" s="32">
        <v>302.54269603193285</v>
      </c>
      <c r="E7" s="31">
        <v>323.3340643353373</v>
      </c>
      <c r="F7" s="31">
        <v>349.27552455595617</v>
      </c>
    </row>
    <row r="8" spans="1:6" x14ac:dyDescent="0.25">
      <c r="A8" s="30">
        <v>0.086733</v>
      </c>
      <c r="B8" s="31">
        <v>226.34097609743523</v>
      </c>
      <c r="C8" s="31">
        <v>235.39933895257275</v>
      </c>
      <c r="D8" s="31">
        <v>246.03256864850283</v>
      </c>
      <c r="E8" s="31">
        <v>258.6570542817284</v>
      </c>
      <c r="F8" s="31">
        <v>273.8501611521435</v>
      </c>
    </row>
    <row r="9" spans="1:6" x14ac:dyDescent="0.25">
      <c r="A9" s="30">
        <v>0.096733</v>
      </c>
      <c r="B9" s="31">
        <v>192.53985059387557</v>
      </c>
      <c r="C9" s="31">
        <v>198.55542760225177</v>
      </c>
      <c r="D9" s="31">
        <v>205.49723904741506</v>
      </c>
      <c r="E9" s="31">
        <v>213.57348052302683</v>
      </c>
      <c r="F9" s="31">
        <v>223.0597979632994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321332819000</v>
      </c>
      <c r="C5" s="18">
        <v>293958599000</v>
      </c>
      <c r="D5" s="18">
        <v>262173411000</v>
      </c>
      <c r="E5" s="18">
        <v>238587006000</v>
      </c>
      <c r="F5" s="6" t="s">
        <v>91</v>
      </c>
    </row>
    <row r="6" spans="1:6" x14ac:dyDescent="0.25">
      <c r="A6" t="s">
        <v>51</v>
      </c>
      <c r="B6" s="18">
        <v>3933622000</v>
      </c>
      <c r="C6" s="18">
        <v>3156949000</v>
      </c>
      <c r="D6" s="18">
        <v>2685605000</v>
      </c>
      <c r="E6" s="18">
        <v>2753510000</v>
      </c>
      <c r="F6" s="6" t="s">
        <v>92</v>
      </c>
    </row>
    <row r="7" spans="1:6" x14ac:dyDescent="0.25">
      <c r="A7" t="s">
        <v>93</v>
      </c>
      <c r="B7" s="18">
        <v>1068416000</v>
      </c>
      <c r="C7" s="18">
        <v>1118842000</v>
      </c>
      <c r="D7" s="18">
        <v>980848000</v>
      </c>
      <c r="E7" s="18">
        <v>709835000</v>
      </c>
      <c r="F7" s="6" t="s">
        <v>94</v>
      </c>
    </row>
    <row r="8" spans="1:6" x14ac:dyDescent="0.25">
      <c r="A8" t="s">
        <v>95</v>
      </c>
      <c r="B8" s="18">
        <v>667981000</v>
      </c>
      <c r="C8" s="18">
        <v>487173000</v>
      </c>
      <c r="D8" s="18">
        <v>458359000</v>
      </c>
      <c r="E8" s="18">
        <v>496318000</v>
      </c>
      <c r="F8" s="6" t="s">
        <v>96</v>
      </c>
    </row>
    <row r="9" spans="1:6" x14ac:dyDescent="0.25">
      <c r="A9" t="s">
        <v>97</v>
      </c>
      <c r="B9" s="18">
        <v>-35424000</v>
      </c>
      <c r="C9" s="18">
        <v>-298688000</v>
      </c>
      <c r="D9" s="18">
        <v>-874542000</v>
      </c>
      <c r="E9" s="18">
        <v>139662000</v>
      </c>
      <c r="F9" s="6" t="s">
        <v>98</v>
      </c>
    </row>
    <row r="10" spans="1:6" x14ac:dyDescent="0.25">
      <c r="A10" t="s">
        <v>99</v>
      </c>
      <c r="B10" s="18">
        <v>7660773000</v>
      </c>
      <c r="C10" s="18">
        <v>4388076000</v>
      </c>
      <c r="D10" s="18">
        <v>4787457000</v>
      </c>
      <c r="E10" s="18">
        <v>5702833000</v>
      </c>
      <c r="F10" s="6" t="s">
        <v>100</v>
      </c>
    </row>
    <row r="11" spans="1:6" x14ac:dyDescent="0.25">
      <c r="A11" t="s">
        <v>101</v>
      </c>
      <c r="B11" s="18">
        <v>4356138000</v>
      </c>
      <c r="C11" s="18">
        <v>3132648000</v>
      </c>
      <c r="D11" s="18">
        <v>2592051000</v>
      </c>
      <c r="E11" s="18">
        <v>3388189000</v>
      </c>
      <c r="F11" s="6" t="s">
        <v>102</v>
      </c>
    </row>
    <row r="12" spans="1:6" x14ac:dyDescent="0.25">
      <c r="A12" t="s">
        <v>34</v>
      </c>
      <c r="B12" s="34">
        <v>195214000</v>
      </c>
      <c r="C12" s="34">
        <v>200284000</v>
      </c>
      <c r="D12" s="34">
        <v>204591000</v>
      </c>
      <c r="E12" s="34">
        <v>211210000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