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<sst xmlns="http://schemas.openxmlformats.org/spreadsheetml/2006/main" count="113" uniqueCount="101">
  <si>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Costco Wholesale Corporation (COST)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</si>
  <si>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</si>
  <si>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</si>
  <si>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</si>
  <si>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</si>
  <si>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</si>
  <si>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</si>
  <si>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</si>
  <si>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</si>
  <si>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</si>
  <si>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</si>
  <si>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</si>
  <si>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</si>
  <si>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</si>
  <si>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</si>
  <si>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</si>
  <si>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</si>
  <si>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</si>
  <si>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</si>
  <si>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</si>
  <si>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</si>
  <si>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</si>
  <si>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</si>
  <si>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</si>
  <si>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</si>
  <si>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</si>
  <si>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</si>
  <si>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</si>
  <si>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</si>
  <si>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</si>
  <si>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2025-08-31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</si>
  <si>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</si>
  <si>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</si>
  <si>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</si>
  <si>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</si>
  <si>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</si>
  <si>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</si>
  <si>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</si>
  <si>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</si>
  <si>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</si>
  <si>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</si>
  <si>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</si>
  <si>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</si>
  <si>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</si>
  <si>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</si>
  <si>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</si>
  <si>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</si>
  <si>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</si>
  <si>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</si>
  <si>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</si>
  <si>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</si>
  <si>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</si>
  <si>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</si>
  <si>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</si>
  <si>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</si>
  <si>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</si>
  <si>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</si>
  <si>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</si>
  <si>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</si>
  <si>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</si>
  <si>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</si>
  <si>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</si>
  <si>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</si>
  <si>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</si>
  <si>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</si>
  <si>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</si>
  <si>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</si>
  <si>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</si>
  <si>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</si>
  <si>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</si>
  <si>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</si>
  <si>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</si>
  <si>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</si>
  <si>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</si>
  <si>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</si>
  <si>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</si>
  <si>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</si>
  <si>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</si>
  <si>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</si>
  <si>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2025-08-31</t>
  </si>
  <si>
    <t>2024-08-31</t>
  </si>
  <si>
    <t>2023-08-31</t>
  </si>
  <si>
    <t>2022-08-31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</si>
  <si>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</si>
  <si>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</si>
  <si>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</si>
  <si>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</si>
  <si>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</si>
  <si>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</si>
  <si>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</si>
  <si>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</si>
  <si>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</si>
  <si>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</si>
  <si>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</si>
  <si>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</si>
  <si>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</si>
  <si>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</si>
  <si>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</si>
  <si>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1.8% of revenue against depreciation of 0.9%. A perpetuity has to be a steady state, so the terminal year uses maintenance capex at depreciation and then charges the reinvestment terminal growth requires (g/ROIC of NOPAT). The bridge is shown under Terminal Value.</t>
  </si>
  <si>
    <t>Current EV/EBITDA of 30.4x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</si>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</sst>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0.06640442726947482</v>
      </c>
    </row>
    <row r="7" spans="1:2" x14ac:dyDescent="0.25">
      <c r="A7" t="s">
        <v>5</v>
      </c>
      <c r="B7" s="6">
        <v>0.035510078799860546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0.00863745147604541</v>
      </c>
    </row>
    <row r="10" spans="1:2" x14ac:dyDescent="0.25">
      <c r="A10" t="s">
        <v>8</v>
      </c>
      <c r="B10" s="6">
        <v>0.018368162578469096</v>
      </c>
    </row>
    <row r="11" spans="1:2" x14ac:dyDescent="0.25">
      <c r="A11" t="s">
        <v>9</v>
      </c>
      <c r="B11" s="6">
        <v>-0.06637976004173188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0.23076739145922048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0.9028499999999999</v>
      </c>
      <c r="C19" s="8" t="s">
        <v>19</v>
      </c>
    </row>
    <row r="20" spans="1:2" x14ac:dyDescent="0.25">
      <c r="A20" t="s">
        <v>20</v>
      </c>
      <c r="B20" s="10">
        <f>B17+B19*B18</f>
        <v>0.09963675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397051002880</v>
      </c>
    </row>
    <row r="23" spans="1:2" x14ac:dyDescent="0.25">
      <c r="A23" t="s">
        <v>24</v>
      </c>
      <c r="B23" s="11">
        <v>8173000000</v>
      </c>
    </row>
    <row r="24" spans="1:2" x14ac:dyDescent="0.25">
      <c r="A24" t="s">
        <v>25</v>
      </c>
      <c r="B24" s="10">
        <f>B22/(B22+B23)</f>
        <v>0.9798309084804626</v>
      </c>
    </row>
    <row r="25" spans="1:2" x14ac:dyDescent="0.25">
      <c r="A25" t="s">
        <v>26</v>
      </c>
      <c r="B25" s="10">
        <f>1-B24</f>
        <v>0.020169091519537385</v>
      </c>
    </row>
    <row r="26" spans="1:2" x14ac:dyDescent="0.25">
      <c r="A26" t="s">
        <v>27</v>
      </c>
      <c r="B26" s="12">
        <f>B24*B20+B25*B21*(1-B8)</f>
        <v>0.09842352771391645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275235000000</v>
      </c>
      <c r="C29" s="8" t="s">
        <v>30</v>
      </c>
    </row>
    <row r="30" spans="1:2" x14ac:dyDescent="0.25">
      <c r="A30" t="s">
        <v>31</v>
      </c>
      <c r="B30" s="11">
        <v>-7111000000</v>
      </c>
    </row>
    <row r="31" spans="1:2" x14ac:dyDescent="0.25">
      <c r="A31" t="s">
        <v>32</v>
      </c>
      <c r="B31" s="13">
        <v>444803000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0.06640442726947482</v>
      </c>
      <c r="C5" s="10">
        <f>Assumptions!B6</f>
        <v>0.06640442726947482</v>
      </c>
      <c r="D5" s="10">
        <f>Assumptions!B6</f>
        <v>0.06640442726947482</v>
      </c>
      <c r="E5" s="10">
        <f>Assumptions!B6</f>
        <v>0.06640442726947482</v>
      </c>
      <c r="F5" s="10">
        <f>Assumptions!B6</f>
        <v>0.06640442726947482</v>
      </c>
    </row>
    <row r="6" spans="1:6" x14ac:dyDescent="0.25">
      <c r="A6" t="s">
        <v>43</v>
      </c>
      <c r="B6" s="18">
        <f>Assumptions!B29*(1+B5)</f>
        <v>293511822539.5139</v>
      </c>
      <c r="C6" s="18">
        <f>B6*(1+C5)</f>
        <v>313002307012.07007</v>
      </c>
      <c r="D6" s="18">
        <f>C6*(1+D5)</f>
        <v>333787045943.2309</v>
      </c>
      <c r="E6" s="18">
        <f>D6*(1+E5)</f>
        <v>355951983559.06104</v>
      </c>
      <c r="F6" s="18">
        <f>E6*(1+F5)</f>
        <v>379588771162.734</v>
      </c>
    </row>
    <row r="7" spans="1:6" x14ac:dyDescent="0.25">
      <c r="A7" t="s">
        <v>5</v>
      </c>
      <c r="B7" s="10">
        <f>Assumptions!B7</f>
        <v>0.035510078799860546</v>
      </c>
      <c r="C7" s="10">
        <f>Assumptions!B7</f>
        <v>0.035510078799860546</v>
      </c>
      <c r="D7" s="10">
        <f>Assumptions!B7</f>
        <v>0.035510078799860546</v>
      </c>
      <c r="E7" s="10">
        <f>Assumptions!B7</f>
        <v>0.035510078799860546</v>
      </c>
      <c r="F7" s="10">
        <f>Assumptions!B7</f>
        <v>0.035510078799860546</v>
      </c>
    </row>
    <row r="8" spans="1:6" x14ac:dyDescent="0.25">
      <c r="A8" t="s">
        <v>44</v>
      </c>
      <c r="B8" s="18">
        <f>B6*B7</f>
        <v>10422627947.068825</v>
      </c>
      <c r="C8" s="18">
        <f>C6*C7</f>
        <v>11114736586.53675</v>
      </c>
      <c r="D8" s="18">
        <f>D6*D7</f>
        <v>11852804303.816801</v>
      </c>
      <c r="E8" s="18">
        <f>E6*E7</f>
        <v>12639882985.148924</v>
      </c>
      <c r="F8" s="18">
        <f>F6*F7</f>
        <v>13479227175.530918</v>
      </c>
    </row>
    <row r="9" spans="1:6" x14ac:dyDescent="0.25">
      <c r="A9" t="s">
        <v>45</v>
      </c>
      <c r="B9" s="18">
        <f>B8*(1-Assumptions!B8)</f>
        <v>8233876078.184372</v>
      </c>
      <c r="C9" s="18">
        <f>C8*(1-Assumptions!B8)</f>
        <v>8780641903.364033</v>
      </c>
      <c r="D9" s="18">
        <f>D8*(1-Assumptions!B8)</f>
        <v>9363715400.015274</v>
      </c>
      <c r="E9" s="18">
        <f>E8*(1-Assumptions!B8)</f>
        <v>9985507558.26765</v>
      </c>
      <c r="F9" s="18">
        <f>F8*(1-Assumptions!B8)</f>
        <v>10648589468.669426</v>
      </c>
    </row>
    <row r="10" spans="1:6" x14ac:dyDescent="0.25">
      <c r="A10" t="s">
        <v>46</v>
      </c>
      <c r="B10" s="18">
        <f>B6*Assumptions!B9</f>
        <v>2535194124.8307033</v>
      </c>
      <c r="C10" s="18">
        <f>C6*Assumptions!B9</f>
        <v>2703542238.707023</v>
      </c>
      <c r="D10" s="18">
        <f>D6*Assumptions!B9</f>
        <v>2883069412.6671968</v>
      </c>
      <c r="E10" s="18">
        <f>E6*Assumptions!B9</f>
        <v>3074517985.7935033</v>
      </c>
      <c r="F10" s="18">
        <f>F6*Assumptions!B9</f>
        <v>3278679591.76982</v>
      </c>
    </row>
    <row r="11" spans="1:6" x14ac:dyDescent="0.25">
      <c r="A11" t="s">
        <v>47</v>
      </c>
      <c r="B11" s="18">
        <f>-B6*Assumptions!B10</f>
        <v>-5391272875.1085615</v>
      </c>
      <c r="C11" s="18">
        <f>-C6*Assumptions!B10</f>
        <v>-5749277262.6336</v>
      </c>
      <c r="D11" s="18">
        <f>-D6*Assumptions!B10</f>
        <v>-6131054726.4721985</v>
      </c>
      <c r="E11" s="18">
        <f>-E6*Assumptions!B10</f>
        <v>-6538183904.141392</v>
      </c>
      <c r="F11" s="18">
        <f>-F6*Assumptions!B10</f>
        <v>-6972348261.6784</v>
      </c>
    </row>
    <row r="12" spans="1:6" x14ac:dyDescent="0.25">
      <c r="A12" t="s">
        <v>48</v>
      </c>
      <c r="B12" s="18">
        <f>-(B6-Assumptions!B29)*Assumptions!B11</f>
        <v>1213211094.4982505</v>
      </c>
      <c r="C12" s="18">
        <f>-(C6-B6)*Assumptions!B11</f>
        <v>1293773682.3853786</v>
      </c>
      <c r="D12" s="18">
        <f>-(D6-C6)*Assumptions!B11</f>
        <v>1379685982.7804985</v>
      </c>
      <c r="E12" s="18">
        <f>-(E6-D6)*Assumptions!B11</f>
        <v>1471303240.2787614</v>
      </c>
      <c r="F12" s="18">
        <f>-(F6-E6)*Assumptions!B11</f>
        <v>1569004289.2891946</v>
      </c>
    </row>
    <row r="13" spans="1:6" x14ac:dyDescent="0.25">
      <c r="A13" s="19" t="s">
        <v>49</v>
      </c>
      <c r="B13" s="20">
        <f>B9+B10+B11+B12</f>
        <v>6591008422.404764</v>
      </c>
      <c r="C13" s="20">
        <f>C9+C10+C11+C12</f>
        <v>7028680561.822835</v>
      </c>
      <c r="D13" s="20">
        <f>D9+D10+D11+D12</f>
        <v>7495416068.99077</v>
      </c>
      <c r="E13" s="20">
        <f>E9+E10+E11+E12</f>
        <v>7993144880.198523</v>
      </c>
      <c r="F13" s="20">
        <f>F9+F10+F11+F12</f>
        <v>8523925088.050041</v>
      </c>
    </row>
    <row r="14" spans="1:6" x14ac:dyDescent="0.25">
      <c r="A14" t="s">
        <v>50</v>
      </c>
      <c r="B14" s="21">
        <f>1/(1+Assumptions!$B$26)^(1-0.5*Assumptions!$B$32)</f>
        <v>0.9541465551187425</v>
      </c>
      <c r="C14" s="21">
        <f>1/(1+Assumptions!$B$26)^(2-0.5*Assumptions!$B$32)</f>
        <v>0.868650871949685</v>
      </c>
      <c r="D14" s="21">
        <f>1/(1+Assumptions!$B$26)^(3-0.5*Assumptions!$B$32)</f>
        <v>0.7908159740146465</v>
      </c>
      <c r="E14" s="21">
        <f>1/(1+Assumptions!$B$26)^(4-0.5*Assumptions!$B$32)</f>
        <v>0.7199554216218628</v>
      </c>
      <c r="F14" s="21">
        <f>1/(1+Assumptions!$B$26)^(5-0.5*Assumptions!$B$32)</f>
        <v>0.6554442830628938</v>
      </c>
    </row>
    <row r="15" spans="1:6" x14ac:dyDescent="0.25">
      <c r="A15" s="19" t="s">
        <v>51</v>
      </c>
      <c r="B15" s="20">
        <f>B13*B14</f>
        <v>6288787980.996123</v>
      </c>
      <c r="C15" s="20">
        <f>C13*C14</f>
        <v>6105469498.6832075</v>
      </c>
      <c r="D15" s="20">
        <f>D13*D14</f>
        <v>5927494759.243969</v>
      </c>
      <c r="E15" s="20">
        <f>E13*E14</f>
        <v>5754707992.307961</v>
      </c>
      <c r="F15" s="20">
        <f>F13*F14</f>
        <v>5586957968.218773</v>
      </c>
    </row>
    <row r="17" spans="1:2" x14ac:dyDescent="0.25">
      <c r="A17" s="22" t="s">
        <v>52</v>
      </c>
      <c r="B17" s="23">
        <f>SUM(B15:F15)</f>
        <v>29663418199.450035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8523925088.050041</v>
      </c>
    </row>
    <row r="5" spans="1:2" x14ac:dyDescent="0.25">
      <c r="A5" t="s">
        <v>56</v>
      </c>
      <c r="B5" s="18">
        <f>IF(Assumptions!$B$33=0,B4,B4-Forecast!F11-Forecast!F10-Forecast!F12)</f>
        <v>10648589468.669426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0.10833419679408136</v>
      </c>
    </row>
    <row r="7" spans="1:2" x14ac:dyDescent="0.25">
      <c r="A7" t="s">
        <v>58</v>
      </c>
      <c r="B7" s="18">
        <f>-MAX(Forecast!F9,0)*B6</f>
        <v>-1153606387.0782158</v>
      </c>
    </row>
    <row r="8" spans="1:2" x14ac:dyDescent="0.25">
      <c r="A8" t="s">
        <v>59</v>
      </c>
      <c r="B8" s="18">
        <f>IF(OR(Assumptions!$B$33=0,Assumptions!B12&lt;=0),B5,MAX(B5+B7,0))</f>
        <v>9494983081.59121</v>
      </c>
    </row>
    <row r="9" spans="1:2" x14ac:dyDescent="0.25">
      <c r="A9" t="s">
        <v>60</v>
      </c>
      <c r="B9" s="18">
        <f>B8*(1+Assumptions!B12)/(Assumptions!B26-Assumptions!B12)</f>
        <v>132550940572.50468</v>
      </c>
    </row>
    <row r="10" spans="1:2" x14ac:dyDescent="0.25">
      <c r="A10" t="s">
        <v>61</v>
      </c>
      <c r="B10" s="18">
        <f>B9/(1+Assumptions!B26)^(5-0.5*Assumptions!B32)</f>
        <v>86879756212.85757</v>
      </c>
    </row>
    <row r="11" spans="1:2" x14ac:dyDescent="0.25">
      <c r="A11" t="s">
        <v>62</v>
      </c>
      <c r="B11" s="18">
        <f>Forecast!B17+B10</f>
        <v>116543174412.30762</v>
      </c>
    </row>
    <row r="12" spans="1:2" x14ac:dyDescent="0.25">
      <c r="A12" t="s">
        <v>63</v>
      </c>
      <c r="B12" s="18">
        <f>-Assumptions!B30</f>
        <v>7111000000</v>
      </c>
    </row>
    <row r="13" spans="1:2" x14ac:dyDescent="0.25">
      <c r="A13" t="s">
        <v>64</v>
      </c>
      <c r="B13" s="18">
        <f>B11+B12</f>
        <v>123654174412.30762</v>
      </c>
    </row>
    <row r="14" spans="1:2" x14ac:dyDescent="0.25">
      <c r="A14" s="19" t="s">
        <v>65</v>
      </c>
      <c r="B14" s="24">
        <f>B13/Assumptions!B31</f>
        <v>277.9976178494921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16757906767.30074</v>
      </c>
    </row>
    <row r="18" spans="1:2" x14ac:dyDescent="0.25">
      <c r="A18" t="s">
        <v>60</v>
      </c>
      <c r="B18" s="18">
        <f>B17*Assumptions!B13</f>
        <v>335158135346.0148</v>
      </c>
    </row>
    <row r="19" spans="1:2" x14ac:dyDescent="0.25">
      <c r="A19" t="s">
        <v>61</v>
      </c>
      <c r="B19" s="18">
        <f>B18/(1+Assumptions!B26)^(5-0.5*Assumptions!B32)</f>
        <v>219677483734.56497</v>
      </c>
    </row>
    <row r="20" spans="1:2" x14ac:dyDescent="0.25">
      <c r="A20" t="s">
        <v>62</v>
      </c>
      <c r="B20" s="18">
        <f>Forecast!B17+B19</f>
        <v>249340901934.015</v>
      </c>
    </row>
    <row r="21" spans="1:2" x14ac:dyDescent="0.25">
      <c r="A21" t="s">
        <v>63</v>
      </c>
      <c r="B21" s="18">
        <f>-Assumptions!B30</f>
        <v>7111000000</v>
      </c>
    </row>
    <row r="22" spans="1:2" x14ac:dyDescent="0.25">
      <c r="A22" t="s">
        <v>64</v>
      </c>
      <c r="B22" s="18">
        <f>B20+B21</f>
        <v>256451901934.015</v>
      </c>
    </row>
    <row r="23" spans="1:2" x14ac:dyDescent="0.25">
      <c r="A23" s="19" t="s">
        <v>65</v>
      </c>
      <c r="B23" s="25">
        <f>B22/Assumptions!B31</f>
        <v>576.5516463108725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895.31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277.9976178494921</v>
      </c>
    </row>
    <row r="29" spans="1:2" x14ac:dyDescent="0.25">
      <c r="A29" s="19" t="s">
        <v>73</v>
      </c>
      <c r="B29" s="12">
        <f>B28/B26-1</f>
        <v>-0.6894956854614691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0.078424</v>
      </c>
      <c r="B5" s="31">
        <v>340.7907748200193</v>
      </c>
      <c r="C5" s="31">
        <v>357.5333273511963</v>
      </c>
      <c r="D5" s="31">
        <v>377.3406565754685</v>
      </c>
      <c r="E5" s="31">
        <v>401.1621192249612</v>
      </c>
      <c r="F5" s="31">
        <v>430.38432181630816</v>
      </c>
    </row>
    <row r="6" spans="1:6" x14ac:dyDescent="0.25">
      <c r="A6" s="30">
        <v>0.088424</v>
      </c>
      <c r="B6" s="31">
        <v>295.52222230068435</v>
      </c>
      <c r="C6" s="31">
        <v>306.8013848444324</v>
      </c>
      <c r="D6" s="31">
        <v>319.80306526488835</v>
      </c>
      <c r="E6" s="31">
        <v>334.969509354032</v>
      </c>
      <c r="F6" s="31">
        <v>352.90852362261336</v>
      </c>
    </row>
    <row r="7" spans="1:6" x14ac:dyDescent="0.25">
      <c r="A7" s="30">
        <v>0.098424</v>
      </c>
      <c r="B7" s="31">
        <v>261.17875429903745</v>
      </c>
      <c r="C7" s="31">
        <v>269.07291242888414</v>
      </c>
      <c r="D7" s="32">
        <v>277.9959135729929</v>
      </c>
      <c r="E7" s="31">
        <v>288.1733020610425</v>
      </c>
      <c r="F7" s="31">
        <v>299.9017449301024</v>
      </c>
    </row>
    <row r="8" spans="1:6" x14ac:dyDescent="0.25">
      <c r="A8" s="30">
        <v>0.108424</v>
      </c>
      <c r="B8" s="31">
        <v>234.24851881760188</v>
      </c>
      <c r="C8" s="31">
        <v>239.9328940320829</v>
      </c>
      <c r="D8" s="31">
        <v>246.2595281127456</v>
      </c>
      <c r="E8" s="31">
        <v>253.3512646150416</v>
      </c>
      <c r="F8" s="31">
        <v>261.36440851179293</v>
      </c>
    </row>
    <row r="9" spans="1:6" x14ac:dyDescent="0.25">
      <c r="A9" s="30">
        <v>0.118424</v>
      </c>
      <c r="B9" s="31">
        <v>212.5781074640968</v>
      </c>
      <c r="C9" s="31">
        <v>216.76078509128814</v>
      </c>
      <c r="D9" s="31">
        <v>221.35761875725544</v>
      </c>
      <c r="E9" s="31">
        <v>226.43886473384399</v>
      </c>
      <c r="F9" s="31">
        <v>232.091622472762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275235000000</v>
      </c>
      <c r="C5" s="18">
        <v>254453000000</v>
      </c>
      <c r="D5" s="18">
        <v>242290000000</v>
      </c>
      <c r="E5" s="18">
        <v>226954000000</v>
      </c>
      <c r="F5" s="8" t="s">
        <v>84</v>
      </c>
    </row>
    <row r="6" spans="1:6" x14ac:dyDescent="0.25">
      <c r="A6" t="s">
        <v>44</v>
      </c>
      <c r="B6" s="18">
        <v>10383000000</v>
      </c>
      <c r="C6" s="18">
        <v>9285000000</v>
      </c>
      <c r="D6" s="18">
        <v>8114000000</v>
      </c>
      <c r="E6" s="18">
        <v>7793000000</v>
      </c>
      <c r="F6" s="8" t="s">
        <v>85</v>
      </c>
    </row>
    <row r="7" spans="1:6" x14ac:dyDescent="0.25">
      <c r="A7" t="s">
        <v>86</v>
      </c>
      <c r="B7" s="18">
        <v>2426000000</v>
      </c>
      <c r="C7" s="18">
        <v>2237000000</v>
      </c>
      <c r="D7" s="18">
        <v>2077000000</v>
      </c>
      <c r="E7" s="18">
        <v>1900000000</v>
      </c>
      <c r="F7" s="8" t="s">
        <v>87</v>
      </c>
    </row>
    <row r="8" spans="1:6" x14ac:dyDescent="0.25">
      <c r="A8" t="s">
        <v>88</v>
      </c>
      <c r="B8" s="18">
        <v>5498000000</v>
      </c>
      <c r="C8" s="18">
        <v>4710000000</v>
      </c>
      <c r="D8" s="18">
        <v>4323000000</v>
      </c>
      <c r="E8" s="18">
        <v>3891000000</v>
      </c>
      <c r="F8" s="8" t="s">
        <v>89</v>
      </c>
    </row>
    <row r="9" spans="1:6" x14ac:dyDescent="0.25">
      <c r="A9" t="s">
        <v>90</v>
      </c>
      <c r="B9" s="18">
        <v>-1764000000</v>
      </c>
      <c r="C9" s="18">
        <v>-611000000</v>
      </c>
      <c r="D9" s="18">
        <v>-1018000000</v>
      </c>
      <c r="E9" s="18">
        <v>1563000000</v>
      </c>
      <c r="F9" s="8" t="s">
        <v>91</v>
      </c>
    </row>
    <row r="10" spans="1:6" x14ac:dyDescent="0.25">
      <c r="A10" t="s">
        <v>92</v>
      </c>
      <c r="B10" s="18">
        <v>8173000000</v>
      </c>
      <c r="C10" s="18">
        <v>8169000000</v>
      </c>
      <c r="D10" s="18">
        <v>8884000000</v>
      </c>
      <c r="E10" s="18">
        <v>9039000000</v>
      </c>
      <c r="F10" s="8" t="s">
        <v>93</v>
      </c>
    </row>
    <row r="11" spans="1:6" x14ac:dyDescent="0.25">
      <c r="A11" t="s">
        <v>94</v>
      </c>
      <c r="B11" s="18">
        <v>15284000000</v>
      </c>
      <c r="C11" s="18">
        <v>11144000000</v>
      </c>
      <c r="D11" s="18">
        <v>15234000000</v>
      </c>
      <c r="E11" s="18">
        <v>11049000000</v>
      </c>
      <c r="F11" s="8" t="s">
        <v>95</v>
      </c>
    </row>
    <row r="12" spans="1:6" x14ac:dyDescent="0.25">
      <c r="A12" t="s">
        <v>32</v>
      </c>
      <c r="B12" s="34">
        <v>444803000</v>
      </c>
      <c r="C12" s="34">
        <v>444759000</v>
      </c>
      <c r="D12" s="34">
        <v>444452000</v>
      </c>
      <c r="E12" s="34">
        <v>444757000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2026-09-19T00:07:13Z</dcterms:modified>
</cp:coreProperties>
</file>