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<sst xmlns="http://schemas.openxmlformats.org/spreadsheetml/2006/main" count="121" uniqueCount="108">
  <si>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Costco Wholesale Corporation (COST)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</si>
  <si>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</si>
  <si>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</si>
  <si>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</si>
  <si>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</si>
  <si>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</si>
  <si>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</si>
  <si>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</si>
  <si>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</si>
  <si>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</si>
  <si>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</si>
  <si>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</si>
  <si>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</si>
  <si>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</si>
  <si>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</si>
  <si>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</si>
  <si>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</si>
  <si>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</si>
  <si>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</si>
  <si>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</si>
  <si>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</si>
  <si>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</si>
  <si>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</si>
  <si>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</si>
  <si>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80.6x interest cover. Book interest / average debt was lower, at 1.7%.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</si>
  <si>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</si>
  <si>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</si>
  <si>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</si>
  <si>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</si>
  <si>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</si>
  <si>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</si>
  <si>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</si>
  <si>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2026-08-31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</si>
  <si>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</si>
  <si>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</si>
  <si>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</si>
  <si>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</si>
  <si>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</si>
  <si>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</si>
  <si>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</si>
  <si>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</si>
  <si>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</si>
  <si>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</si>
  <si>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</si>
  <si>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</si>
  <si>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</si>
  <si>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</si>
  <si>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</si>
  <si>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</si>
  <si>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</si>
  <si>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</si>
  <si>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</si>
  <si>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</si>
  <si>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</si>
  <si>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</si>
  <si>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</si>
  <si>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</si>
  <si>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</si>
  <si>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</si>
  <si>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</si>
  <si>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</si>
  <si>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</si>
  <si>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</si>
  <si>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</si>
  <si>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</si>
  <si>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</si>
  <si>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</si>
  <si>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</si>
  <si>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</si>
  <si>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</si>
  <si>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</si>
  <si>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</si>
  <si>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</si>
  <si>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</si>
  <si>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</si>
  <si>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</si>
  <si>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</si>
  <si>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</si>
  <si>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</si>
  <si>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</si>
  <si>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</si>
  <si>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</si>
  <si>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</si>
  <si>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</si>
  <si>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</si>
  <si>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</si>
  <si>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2026-08-31</t>
  </si>
  <si>
    <t>2025-08-31</t>
  </si>
  <si>
    <t>2024-08-31</t>
  </si>
  <si>
    <t>2023-08-31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</si>
  <si>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</si>
  <si>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</si>
  <si>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</si>
  <si>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</si>
  <si>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</si>
  <si>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</si>
  <si>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</si>
  <si>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</si>
  <si>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</si>
  <si>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</si>
  <si>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</si>
  <si>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</si>
  <si>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</si>
  <si>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</si>
  <si>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</si>
  <si>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Capital expenditure runs at 1.9% of revenue against depreciation of 0.9%.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</si>
  <si>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30.4x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</si>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</sst>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0.08683304459119778</v>
      </c>
    </row>
    <row r="7" spans="1:2" x14ac:dyDescent="0.25">
      <c r="A7" t="s">
        <v>4</v>
      </c>
      <c r="B7" s="5">
        <v>0.03656193162992753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0.008749666201644007</v>
      </c>
    </row>
    <row r="10" spans="1:3" x14ac:dyDescent="0.25">
      <c r="A10" t="s">
        <v>7</v>
      </c>
      <c r="B10" s="5">
        <v>0.019388760538091732</v>
      </c>
      <c r="C10" s="6" t="s">
        <v>8</v>
      </c>
    </row>
    <row r="11" spans="1:2" x14ac:dyDescent="0.25">
      <c r="A11" t="s">
        <v>9</v>
      </c>
      <c r="B11" s="5">
        <v>0.005788815702343436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0.22732679364230024</v>
      </c>
      <c r="C14" s="6" t="s">
        <v>13</v>
      </c>
    </row>
    <row r="15" spans="1:3" x14ac:dyDescent="0.25">
      <c r="A15" t="s">
        <v>14</v>
      </c>
      <c r="B15" s="5">
        <v>0.008749666201644007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0.9129</v>
      </c>
      <c r="C19" s="6" t="s">
        <v>21</v>
      </c>
    </row>
    <row r="20" spans="1:2" x14ac:dyDescent="0.25">
      <c r="A20" t="s">
        <v>22</v>
      </c>
      <c r="B20" s="9">
        <f>B17+B19*B18</f>
        <v>0.08755567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448570982400</v>
      </c>
    </row>
    <row r="23" spans="1:2" x14ac:dyDescent="0.25">
      <c r="A23" t="s">
        <v>26</v>
      </c>
      <c r="B23" s="10">
        <v>8576000000</v>
      </c>
    </row>
    <row r="24" spans="1:2" x14ac:dyDescent="0.25">
      <c r="A24" t="s">
        <v>27</v>
      </c>
      <c r="B24" s="9">
        <f>B22/(B22+B23)</f>
        <v>0.9812401692887124</v>
      </c>
    </row>
    <row r="25" spans="1:2" x14ac:dyDescent="0.25">
      <c r="A25" t="s">
        <v>28</v>
      </c>
      <c r="B25" s="9">
        <f>1-B24</f>
        <v>0.018759830711287617</v>
      </c>
    </row>
    <row r="26" spans="1:2" x14ac:dyDescent="0.25">
      <c r="A26" t="s">
        <v>29</v>
      </c>
      <c r="B26" s="11">
        <f>B24*B20+B25*B21*(1-B8)</f>
        <v>0.08669772534889253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303154000000</v>
      </c>
      <c r="C29" s="6" t="s">
        <v>32</v>
      </c>
    </row>
    <row r="30" spans="1:2" x14ac:dyDescent="0.25">
      <c r="A30" t="s">
        <v>33</v>
      </c>
      <c r="B30" s="10">
        <v>-12725000000</v>
      </c>
    </row>
    <row r="31" spans="1:2" x14ac:dyDescent="0.25">
      <c r="A31" t="s">
        <v>34</v>
      </c>
      <c r="B31" s="12">
        <v>443266000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0.08683304459119778</v>
      </c>
      <c r="C5" s="5">
        <v>0.07365276586016423</v>
      </c>
      <c r="D5" s="5">
        <v>0.0675711701276437</v>
      </c>
      <c r="E5" s="5">
        <v>0.06148957439512317</v>
      </c>
      <c r="F5" s="5">
        <v>0.05540797866260264</v>
      </c>
      <c r="G5" s="5">
        <v>0.04932638293008211</v>
      </c>
      <c r="H5" s="5">
        <v>0.043244787197561585</v>
      </c>
      <c r="I5" s="5">
        <v>0.03716319146504106</v>
      </c>
      <c r="J5" s="5">
        <v>0.031081595732520527</v>
      </c>
      <c r="K5" s="5">
        <v>0.025</v>
      </c>
    </row>
    <row r="6" spans="1:11" x14ac:dyDescent="0.25">
      <c r="A6" t="s">
        <v>50</v>
      </c>
      <c r="B6" s="18">
        <f>Assumptions!B29*(1+B5)</f>
        <v>329477784800</v>
      </c>
      <c r="C6" s="18">
        <f>B6*(1+C5)</f>
        <v>353744734940</v>
      </c>
      <c r="D6" s="18">
        <f>C6*(1+D5)</f>
        <v>377647680606.389</v>
      </c>
      <c r="E6" s="18">
        <f>D6*(1+E5)</f>
        <v>400869075758.1812</v>
      </c>
      <c r="F6" s="18">
        <f>E6*(1+F5)</f>
        <v>423080420954.2878</v>
      </c>
      <c r="G6" s="18">
        <f>F6*(1+G5)</f>
        <v>443949447808.49927</v>
      </c>
      <c r="H6" s="18">
        <f>G6*(1+H5)</f>
        <v>463147947205.4528</v>
      </c>
      <c r="I6" s="18">
        <f>H6*(1+I5)</f>
        <v>480360003044.0898</v>
      </c>
      <c r="J6" s="18">
        <f>I6*(1+J5)</f>
        <v>495290358464.7785</v>
      </c>
      <c r="K6" s="18">
        <f>J6*(1+K5)</f>
        <v>507672617426.39795</v>
      </c>
    </row>
    <row r="7" spans="1:11" x14ac:dyDescent="0.25">
      <c r="A7" t="s">
        <v>4</v>
      </c>
      <c r="B7" s="9">
        <f>Assumptions!B7</f>
        <v>0.03656193162992753</v>
      </c>
      <c r="C7" s="9">
        <f>Assumptions!B7</f>
        <v>0.03656193162992753</v>
      </c>
      <c r="D7" s="9">
        <f>Assumptions!B7</f>
        <v>0.03656193162992753</v>
      </c>
      <c r="E7" s="9">
        <f>Assumptions!B7</f>
        <v>0.03656193162992753</v>
      </c>
      <c r="F7" s="9">
        <f>Assumptions!B7</f>
        <v>0.03656193162992753</v>
      </c>
      <c r="G7" s="9">
        <f>Assumptions!B7</f>
        <v>0.03656193162992753</v>
      </c>
      <c r="H7" s="9">
        <f>Assumptions!B7</f>
        <v>0.03656193162992753</v>
      </c>
      <c r="I7" s="9">
        <f>Assumptions!B7</f>
        <v>0.03656193162992753</v>
      </c>
      <c r="J7" s="9">
        <f>Assumptions!B7</f>
        <v>0.03656193162992753</v>
      </c>
      <c r="K7" s="9">
        <f>Assumptions!B7</f>
        <v>0.03656193162992753</v>
      </c>
    </row>
    <row r="8" spans="1:11" x14ac:dyDescent="0.25">
      <c r="A8" t="s">
        <v>51</v>
      </c>
      <c r="B8" s="18">
        <f>B6*B7</f>
        <v>12046344241.437576</v>
      </c>
      <c r="C8" s="18">
        <f>C6*C7</f>
        <v>12933590813.323116</v>
      </c>
      <c r="D8" s="18">
        <f>D6*D7</f>
        <v>13807528678.531504</v>
      </c>
      <c r="E8" s="18">
        <f>E6*E7</f>
        <v>14656547740.422861</v>
      </c>
      <c r="F8" s="18">
        <f>F6*F7</f>
        <v>15468637424.89163</v>
      </c>
      <c r="G8" s="18">
        <f>G6*G7</f>
        <v>16231649357.918432</v>
      </c>
      <c r="H8" s="18">
        <f>H6*H7</f>
        <v>16933583580.267052</v>
      </c>
      <c r="I8" s="18">
        <f>I6*I7</f>
        <v>17562889589.049793</v>
      </c>
      <c r="J8" s="18">
        <f>J6*J7</f>
        <v>18108772223.15153</v>
      </c>
      <c r="K8" s="18">
        <f>K6*K7</f>
        <v>18561491528.73032</v>
      </c>
    </row>
    <row r="9" spans="1:11" x14ac:dyDescent="0.25">
      <c r="A9" t="s">
        <v>52</v>
      </c>
      <c r="B9" s="18">
        <f>B8*(1-Assumptions!B8)</f>
        <v>9516611950.735685</v>
      </c>
      <c r="C9" s="18">
        <f>C8*(1-Assumptions!B8)</f>
        <v>10217536742.525263</v>
      </c>
      <c r="D9" s="18">
        <f>D8*(1-Assumptions!B8)</f>
        <v>10907947656.039888</v>
      </c>
      <c r="E9" s="18">
        <f>E8*(1-Assumptions!B8)</f>
        <v>11578672714.934061</v>
      </c>
      <c r="F9" s="18">
        <f>F8*(1-Assumptions!B8)</f>
        <v>12220223565.664389</v>
      </c>
      <c r="G9" s="18">
        <f>G8*(1-Assumptions!B8)</f>
        <v>12823002992.755562</v>
      </c>
      <c r="H9" s="18">
        <f>H8*(1-Assumptions!B8)</f>
        <v>13377531028.41097</v>
      </c>
      <c r="I9" s="18">
        <f>I8*(1-Assumptions!B8)</f>
        <v>13874682775.349337</v>
      </c>
      <c r="J9" s="18">
        <f>J8*(1-Assumptions!B8)</f>
        <v>14305930056.289711</v>
      </c>
      <c r="K9" s="18">
        <f>K8*(1-Assumptions!B8)</f>
        <v>14663578307.696953</v>
      </c>
    </row>
    <row r="10" spans="1:11" x14ac:dyDescent="0.25">
      <c r="A10" t="s">
        <v>53</v>
      </c>
      <c r="B10" s="18">
        <f>B6*Assumptions!B9</f>
        <v>2882820637.8570976</v>
      </c>
      <c r="C10" s="18">
        <f>C6*Assumptions!B9</f>
        <v>3095148351.314036</v>
      </c>
      <c r="D10" s="18">
        <f>D6*Assumptions!B9</f>
        <v>3304291147.1309724</v>
      </c>
      <c r="E10" s="18">
        <f>E6*Assumptions!B9</f>
        <v>3507470603.445629</v>
      </c>
      <c r="F10" s="18">
        <f>F6*Assumptions!B9</f>
        <v>3701812459.8010507</v>
      </c>
      <c r="G10" s="18">
        <f>G6*Assumptions!B9</f>
        <v>3884409478.728546</v>
      </c>
      <c r="H10" s="18">
        <f>H6*Assumptions!B9</f>
        <v>4052389940.0243535</v>
      </c>
      <c r="I10" s="18">
        <f>I6*Assumptions!B9</f>
        <v>4202989683.2564845</v>
      </c>
      <c r="J10" s="18">
        <f>J6*Assumptions!B9</f>
        <v>4333625309.459417</v>
      </c>
      <c r="K10" s="18">
        <f>K6*Assumptions!B9</f>
        <v>4441965942.195902</v>
      </c>
    </row>
    <row r="11" spans="1:11" x14ac:dyDescent="0.25">
      <c r="A11" t="s">
        <v>54</v>
      </c>
      <c r="B11" s="18">
        <f>-B6*B19</f>
        <v>-6388165872.10812</v>
      </c>
      <c r="C11" s="18">
        <f>-C6*C19</f>
        <v>-6565353971.302773</v>
      </c>
      <c r="D11" s="18">
        <f>-D6*D19</f>
        <v>-6695844795.848725</v>
      </c>
      <c r="E11" s="18">
        <f>-E6*E19</f>
        <v>-6775176905.341129</v>
      </c>
      <c r="F11" s="18">
        <f>-F6*F19</f>
        <v>-6799766026.917595</v>
      </c>
      <c r="G11" s="18">
        <f>-G6*G19</f>
        <v>-6767059978.601106</v>
      </c>
      <c r="H11" s="18">
        <f>-H6*H19</f>
        <v>-6675667128.379562</v>
      </c>
      <c r="I11" s="18">
        <f>-I6*I19</f>
        <v>-6525451416.183335</v>
      </c>
      <c r="J11" s="18">
        <f>-J6*J19</f>
        <v>-6317588102.212513</v>
      </c>
      <c r="K11" s="18">
        <f>-K6*K19</f>
        <v>-6054575928.985467</v>
      </c>
    </row>
    <row r="12" spans="1:11" x14ac:dyDescent="0.25">
      <c r="A12" t="s">
        <v>55</v>
      </c>
      <c r="B12" s="18">
        <f>-(B6-Assumptions!B29)*Assumptions!B11</f>
        <v>-152383538.79534948</v>
      </c>
      <c r="C12" s="18">
        <f>-(C6-B6)*Assumptions!B11</f>
        <v>-140476902.01841724</v>
      </c>
      <c r="D12" s="18">
        <f>-(D6-C6)*Assumptions!B11</f>
        <v>-138369747.2058545</v>
      </c>
      <c r="E12" s="18">
        <f>-(E6-D6)*Assumptions!B11</f>
        <v>-134424376.88501665</v>
      </c>
      <c r="F12" s="18">
        <f>-(F6-E6)*Assumptions!B11</f>
        <v>-128577383.84139214</v>
      </c>
      <c r="G12" s="18">
        <f>-(G6-F6)*Assumptions!B11</f>
        <v>-120806950.3462863</v>
      </c>
      <c r="H12" s="18">
        <f>-(H6-G6)*Assumptions!B11</f>
        <v>-111136574.77051571</v>
      </c>
      <c r="I12" s="18">
        <f>-(I6-H6)*Assumptions!B11</f>
        <v>-99637419.10831366</v>
      </c>
      <c r="J12" s="18">
        <f>-(J6-I6)*Assumptions!B11</f>
        <v>-86429075.90085131</v>
      </c>
      <c r="K12" s="18">
        <f>-(K6-J6)*Assumptions!B11</f>
        <v>-71678615.10750538</v>
      </c>
    </row>
    <row r="13" spans="1:11" x14ac:dyDescent="0.25">
      <c r="A13" s="19" t="s">
        <v>56</v>
      </c>
      <c r="B13" s="20">
        <f>B9+B10+B11+B12</f>
        <v>5858883177.689314</v>
      </c>
      <c r="C13" s="20">
        <f>C9+C10+C11+C12</f>
        <v>6606854220.518107</v>
      </c>
      <c r="D13" s="20">
        <f>D9+D10+D11+D12</f>
        <v>7378024260.116281</v>
      </c>
      <c r="E13" s="20">
        <f>E9+E10+E11+E12</f>
        <v>8176542036.153544</v>
      </c>
      <c r="F13" s="20">
        <f>F9+F10+F11+F12</f>
        <v>8993692614.706451</v>
      </c>
      <c r="G13" s="20">
        <f>G9+G10+G11+G12</f>
        <v>9819545542.536716</v>
      </c>
      <c r="H13" s="20">
        <f>H9+H10+H11+H12</f>
        <v>10643117265.285248</v>
      </c>
      <c r="I13" s="20">
        <f>I9+I10+I11+I12</f>
        <v>11452583623.31417</v>
      </c>
      <c r="J13" s="20">
        <f>J9+J10+J11+J12</f>
        <v>12235538187.635765</v>
      </c>
      <c r="K13" s="20">
        <f>K9+K10+K11+K12</f>
        <v>12979289705.799881</v>
      </c>
    </row>
    <row r="14" spans="1:11" x14ac:dyDescent="0.25">
      <c r="A14" t="s">
        <v>57</v>
      </c>
      <c r="B14" s="21">
        <f>1/(1+Assumptions!$B$26)^(1-0.5*Assumptions!$B$32)</f>
        <v>0.9592805102941431</v>
      </c>
      <c r="C14" s="21">
        <f>1/(1+Assumptions!$B$26)^(2-0.5*Assumptions!$B$32)</f>
        <v>0.8827482453652498</v>
      </c>
      <c r="D14" s="21">
        <f>1/(1+Assumptions!$B$26)^(3-0.5*Assumptions!$B$32)</f>
        <v>0.8123217936080954</v>
      </c>
      <c r="E14" s="21">
        <f>1/(1+Assumptions!$B$26)^(4-0.5*Assumptions!$B$32)</f>
        <v>0.7475140277369158</v>
      </c>
      <c r="F14" s="21">
        <f>1/(1+Assumptions!$B$26)^(5-0.5*Assumptions!$B$32)</f>
        <v>0.6878766839204719</v>
      </c>
      <c r="G14" s="21">
        <f>1/(1+Assumptions!$B$26)^(6-0.5*Assumptions!$B$32)</f>
        <v>0.6329972612205697</v>
      </c>
      <c r="H14" s="21">
        <f>1/(1+Assumptions!$B$26)^(7-0.5*Assumptions!$B$32)</f>
        <v>0.5824961683961758</v>
      </c>
      <c r="I14" s="21">
        <f>1/(1+Assumptions!$B$26)^(8-0.5*Assumptions!$B$32)</f>
        <v>0.5360240983380737</v>
      </c>
      <c r="J14" s="21">
        <f>1/(1+Assumptions!$B$26)^(9-0.5*Assumptions!$B$32)</f>
        <v>0.4932596119734944</v>
      </c>
      <c r="K14" s="21">
        <f>1/(1+Assumptions!$B$26)^(10-0.5*Assumptions!$B$32)</f>
        <v>0.4539069149290155</v>
      </c>
    </row>
    <row r="15" spans="1:11" x14ac:dyDescent="0.25">
      <c r="A15" s="19" t="s">
        <v>58</v>
      </c>
      <c r="B15" s="20">
        <f>B13*B14</f>
        <v>5620312444.447576</v>
      </c>
      <c r="C15" s="20">
        <f>C13*C14</f>
        <v>5832188970.546354</v>
      </c>
      <c r="D15" s="20">
        <f>D13*D14</f>
        <v>5993329900.261698</v>
      </c>
      <c r="E15" s="20">
        <f>E13*E14</f>
        <v>6112079870.405338</v>
      </c>
      <c r="F15" s="20">
        <f>F13*F14</f>
        <v>6186551452.004312</v>
      </c>
      <c r="G15" s="20">
        <f>G13*G14</f>
        <v>6215745434.856394</v>
      </c>
      <c r="H15" s="20">
        <f>H13*H14</f>
        <v>6199575026.819841</v>
      </c>
      <c r="I15" s="20">
        <f>I13*I14</f>
        <v>6138860810.328368</v>
      </c>
      <c r="J15" s="20">
        <f>J13*J14</f>
        <v>6035296818.72009</v>
      </c>
      <c r="K15" s="20">
        <f>K13*K14</f>
        <v>5891389348.329554</v>
      </c>
    </row>
    <row r="17" spans="1:2" x14ac:dyDescent="0.25">
      <c r="A17" s="22" t="s">
        <v>59</v>
      </c>
      <c r="B17" s="23">
        <f>SUM(B15:K15)</f>
        <v>60225330076.71953</v>
      </c>
    </row>
    <row r="19" spans="1:11" x14ac:dyDescent="0.25">
      <c r="A19" t="s">
        <v>7</v>
      </c>
      <c r="B19" s="9">
        <f>Assumptions!$B$10+($B$20-Assumptions!$B$10)*0/9</f>
        <v>0.019388760538091732</v>
      </c>
      <c r="C19" s="9">
        <f>Assumptions!$B$10+($B$20-Assumptions!$B$10)*1/9</f>
        <v>0.01855958074518437</v>
      </c>
      <c r="D19" s="9">
        <f>Assumptions!$B$10+($B$20-Assumptions!$B$10)*2/9</f>
        <v>0.017730400952277015</v>
      </c>
      <c r="E19" s="9">
        <f>Assumptions!$B$10+($B$20-Assumptions!$B$10)*3/9</f>
        <v>0.016901221159369654</v>
      </c>
      <c r="F19" s="9">
        <f>Assumptions!$B$10+($B$20-Assumptions!$B$10)*4/9</f>
        <v>0.016072041366462297</v>
      </c>
      <c r="G19" s="9">
        <f>Assumptions!$B$10+($B$20-Assumptions!$B$10)*5/9</f>
        <v>0.015242861573554936</v>
      </c>
      <c r="H19" s="9">
        <f>Assumptions!$B$10+($B$20-Assumptions!$B$10)*6/9</f>
        <v>0.014413681780647579</v>
      </c>
      <c r="I19" s="9">
        <f>Assumptions!$B$10+($B$20-Assumptions!$B$10)*7/9</f>
        <v>0.013584501987740218</v>
      </c>
      <c r="J19" s="9">
        <f>Assumptions!$B$10+($B$20-Assumptions!$B$10)*8/9</f>
        <v>0.012755322194832861</v>
      </c>
      <c r="K19" s="9">
        <f>Assumptions!$B$10+($B$20-Assumptions!$B$10)*9/9</f>
        <v>0.0119261424019255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0.0119261424019255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12979289705.799881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14663578307.696953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0.10997383810083389</v>
      </c>
    </row>
    <row r="7" spans="1:2" x14ac:dyDescent="0.25">
      <c r="A7" t="s">
        <v>66</v>
      </c>
      <c r="B7" s="18">
        <f>-MAX(B5,0)*B6</f>
        <v>-1612609986.7895644</v>
      </c>
    </row>
    <row r="8" spans="1:2" x14ac:dyDescent="0.25">
      <c r="A8" t="s">
        <v>67</v>
      </c>
      <c r="B8" s="18">
        <f>IF(OR(Assumptions!$B$33=0,Assumptions!B12&lt;=0),B5,MAX(B5+B7,0))</f>
        <v>13050968320.907389</v>
      </c>
    </row>
    <row r="9" spans="1:2" x14ac:dyDescent="0.25">
      <c r="A9" t="s">
        <v>68</v>
      </c>
      <c r="B9" s="18">
        <f>B8*(1+Assumptions!B12)/(Assumptions!B26-Assumptions!B12)</f>
        <v>216819055374.95142</v>
      </c>
    </row>
    <row r="10" spans="1:2" x14ac:dyDescent="0.25">
      <c r="A10" t="s">
        <v>69</v>
      </c>
      <c r="B10" s="18">
        <f>B9/(1+Assumptions!B26)^(10-0.5*Assumptions!B32)</f>
        <v>98415668523.06758</v>
      </c>
    </row>
    <row r="11" spans="1:2" x14ac:dyDescent="0.25">
      <c r="A11" t="s">
        <v>70</v>
      </c>
      <c r="B11" s="18">
        <f>Forecast!B17+B10</f>
        <v>158640998599.7871</v>
      </c>
    </row>
    <row r="12" spans="1:2" x14ac:dyDescent="0.25">
      <c r="A12" t="s">
        <v>71</v>
      </c>
      <c r="B12" s="18">
        <f>-Assumptions!B30</f>
        <v>12725000000</v>
      </c>
    </row>
    <row r="13" spans="1:2" x14ac:dyDescent="0.25">
      <c r="A13" t="s">
        <v>72</v>
      </c>
      <c r="B13" s="18">
        <f>B11+B12</f>
        <v>171365998599.7871</v>
      </c>
    </row>
    <row r="14" spans="1:2" x14ac:dyDescent="0.25">
      <c r="A14" s="19" t="s">
        <v>73</v>
      </c>
      <c r="B14" s="24">
        <f>B13/Assumptions!B31</f>
        <v>386.59856293915414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23003457470.926224</v>
      </c>
    </row>
    <row r="18" spans="1:2" x14ac:dyDescent="0.25">
      <c r="A18" t="s">
        <v>68</v>
      </c>
      <c r="B18" s="18">
        <f>B17*Assumptions!B13</f>
        <v>460069149418.5245</v>
      </c>
    </row>
    <row r="19" spans="1:2" x14ac:dyDescent="0.25">
      <c r="A19" t="s">
        <v>69</v>
      </c>
      <c r="B19" s="18">
        <f>B18/(1+Assumptions!B26)^(10-0.5*Assumptions!B32)</f>
        <v>208828568266.57874</v>
      </c>
    </row>
    <row r="20" spans="1:2" x14ac:dyDescent="0.25">
      <c r="A20" t="s">
        <v>70</v>
      </c>
      <c r="B20" s="18">
        <f>Forecast!B17+B19</f>
        <v>269053898343.29828</v>
      </c>
    </row>
    <row r="21" spans="1:2" x14ac:dyDescent="0.25">
      <c r="A21" t="s">
        <v>71</v>
      </c>
      <c r="B21" s="18">
        <f>-Assumptions!B30</f>
        <v>12725000000</v>
      </c>
    </row>
    <row r="22" spans="1:2" x14ac:dyDescent="0.25">
      <c r="A22" t="s">
        <v>72</v>
      </c>
      <c r="B22" s="18">
        <f>B20+B21</f>
        <v>281778898343.2983</v>
      </c>
    </row>
    <row r="23" spans="1:2" x14ac:dyDescent="0.25">
      <c r="A23" s="19" t="s">
        <v>73</v>
      </c>
      <c r="B23" s="25">
        <f>B22/Assumptions!B31</f>
        <v>635.6880481320433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1012.28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386.59856293915414</v>
      </c>
    </row>
    <row r="29" spans="1:2" x14ac:dyDescent="0.25">
      <c r="A29" s="19" t="s">
        <v>81</v>
      </c>
      <c r="B29" s="11">
        <f>B28/B26-1</f>
        <v>-0.618091276189242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0.066698</v>
      </c>
      <c r="B5" s="31">
        <v>510.88201105405915</v>
      </c>
      <c r="C5" s="31">
        <v>537.1047764280021</v>
      </c>
      <c r="D5" s="31">
        <v>570.0337723983538</v>
      </c>
      <c r="E5" s="31">
        <v>612.4101145285272</v>
      </c>
      <c r="F5" s="31">
        <v>668.7044379499923</v>
      </c>
    </row>
    <row r="6" spans="1:6" x14ac:dyDescent="0.25">
      <c r="A6" s="30">
        <v>0.076698</v>
      </c>
      <c r="B6" s="31">
        <v>427.01818079249836</v>
      </c>
      <c r="C6" s="31">
        <v>442.0904683984649</v>
      </c>
      <c r="D6" s="31">
        <v>460.3963995606713</v>
      </c>
      <c r="E6" s="31">
        <v>482.974662303093</v>
      </c>
      <c r="F6" s="31">
        <v>511.362140258116</v>
      </c>
    </row>
    <row r="7" spans="1:6" x14ac:dyDescent="0.25">
      <c r="A7" s="30">
        <v>0.086698</v>
      </c>
      <c r="B7" s="31">
        <v>366.88942695873465</v>
      </c>
      <c r="C7" s="31">
        <v>375.887839047915</v>
      </c>
      <c r="D7" s="32">
        <v>386.596868423125</v>
      </c>
      <c r="E7" s="31">
        <v>399.4690753032514</v>
      </c>
      <c r="F7" s="31">
        <v>415.1320983314478</v>
      </c>
    </row>
    <row r="8" spans="1:6" x14ac:dyDescent="0.25">
      <c r="A8" s="30">
        <v>0.096698</v>
      </c>
      <c r="B8" s="31">
        <v>321.75764239838406</v>
      </c>
      <c r="C8" s="31">
        <v>327.2065170237141</v>
      </c>
      <c r="D8" s="31">
        <v>333.62075630227844</v>
      </c>
      <c r="E8" s="31">
        <v>341.2174652417011</v>
      </c>
      <c r="F8" s="31">
        <v>350.2841255255518</v>
      </c>
    </row>
    <row r="9" spans="1:6" x14ac:dyDescent="0.25">
      <c r="A9" s="30">
        <v>0.106698</v>
      </c>
      <c r="B9" s="31">
        <v>286.6981338072392</v>
      </c>
      <c r="C9" s="31">
        <v>289.9667753616153</v>
      </c>
      <c r="D9" s="31">
        <v>293.8062616167476</v>
      </c>
      <c r="E9" s="31">
        <v>298.32823395195936</v>
      </c>
      <c r="F9" s="31">
        <v>303.67547586471505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303154000000</v>
      </c>
      <c r="C5" s="18">
        <v>275235000000</v>
      </c>
      <c r="D5" s="18">
        <v>254453000000</v>
      </c>
      <c r="E5" s="18">
        <v>242290000000</v>
      </c>
      <c r="F5" s="6" t="s">
        <v>91</v>
      </c>
    </row>
    <row r="6" spans="1:6" x14ac:dyDescent="0.25">
      <c r="A6" t="s">
        <v>51</v>
      </c>
      <c r="B6" s="18">
        <v>11685000000</v>
      </c>
      <c r="C6" s="18">
        <v>10383000000</v>
      </c>
      <c r="D6" s="18">
        <v>9285000000</v>
      </c>
      <c r="E6" s="18">
        <v>8114000000</v>
      </c>
      <c r="F6" s="6" t="s">
        <v>92</v>
      </c>
    </row>
    <row r="7" spans="1:6" x14ac:dyDescent="0.25">
      <c r="A7" t="s">
        <v>93</v>
      </c>
      <c r="B7" s="18">
        <v>2674000000</v>
      </c>
      <c r="C7" s="18">
        <v>2426000000</v>
      </c>
      <c r="D7" s="18">
        <v>2237000000</v>
      </c>
      <c r="E7" s="18">
        <v>2077000000</v>
      </c>
      <c r="F7" s="6" t="s">
        <v>94</v>
      </c>
    </row>
    <row r="8" spans="1:6" x14ac:dyDescent="0.25">
      <c r="A8" t="s">
        <v>95</v>
      </c>
      <c r="B8" s="18">
        <v>6435000000</v>
      </c>
      <c r="C8" s="18">
        <v>5498000000</v>
      </c>
      <c r="D8" s="18">
        <v>4710000000</v>
      </c>
      <c r="E8" s="18">
        <v>4323000000</v>
      </c>
      <c r="F8" s="6" t="s">
        <v>96</v>
      </c>
    </row>
    <row r="9" spans="1:6" x14ac:dyDescent="0.25">
      <c r="A9" t="s">
        <v>97</v>
      </c>
      <c r="B9" s="18">
        <v>-2320000000</v>
      </c>
      <c r="C9" s="18">
        <v>-1764000000</v>
      </c>
      <c r="D9" s="18">
        <v>-611000000</v>
      </c>
      <c r="E9" s="18">
        <v>-1018000000</v>
      </c>
      <c r="F9" s="6" t="s">
        <v>98</v>
      </c>
    </row>
    <row r="10" spans="1:6" x14ac:dyDescent="0.25">
      <c r="A10" t="s">
        <v>99</v>
      </c>
      <c r="B10" s="18">
        <v>8576000000</v>
      </c>
      <c r="C10" s="18">
        <v>8248000000</v>
      </c>
      <c r="D10" s="18">
        <v>8169000000</v>
      </c>
      <c r="E10" s="18">
        <v>8884000000</v>
      </c>
      <c r="F10" s="6" t="s">
        <v>100</v>
      </c>
    </row>
    <row r="11" spans="1:6" x14ac:dyDescent="0.25">
      <c r="A11" t="s">
        <v>101</v>
      </c>
      <c r="B11" s="18">
        <v>21301000000</v>
      </c>
      <c r="C11" s="18">
        <v>15284000000</v>
      </c>
      <c r="D11" s="18">
        <v>11144000000</v>
      </c>
      <c r="E11" s="18">
        <v>15234000000</v>
      </c>
      <c r="F11" s="6" t="s">
        <v>102</v>
      </c>
    </row>
    <row r="12" spans="1:6" x14ac:dyDescent="0.25">
      <c r="A12" t="s">
        <v>34</v>
      </c>
      <c r="B12" s="34">
        <v>443266000</v>
      </c>
      <c r="C12" s="34">
        <v>444803000</v>
      </c>
      <c r="D12" s="34">
        <v>444759000</v>
      </c>
      <c r="E12" s="34">
        <v>444452000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