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<sst xmlns="http://schemas.openxmlformats.org/spreadsheetml/2006/main" count="113" uniqueCount="101">
  <si>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Canadian Pacific Kansas City Limited (CP.TO)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</si>
  <si>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</si>
  <si>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</si>
  <si>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</si>
  <si>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</si>
  <si>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</si>
  <si>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</si>
  <si>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</si>
  <si>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</si>
  <si>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</si>
  <si>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</si>
  <si>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</si>
  <si>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</si>
  <si>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</si>
  <si>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</si>
  <si>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</si>
  <si>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</si>
  <si>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</si>
  <si>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</si>
  <si>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</si>
  <si>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</si>
  <si>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</si>
  <si>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</si>
  <si>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</si>
  <si>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</si>
  <si>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</si>
  <si>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</si>
  <si>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</si>
  <si>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</si>
  <si>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</si>
  <si>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</si>
  <si>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</si>
  <si>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</si>
  <si>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</si>
  <si>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</si>
  <si>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</si>
  <si>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</si>
  <si>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</si>
  <si>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</si>
  <si>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</si>
  <si>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</si>
  <si>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</si>
  <si>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</si>
  <si>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</si>
  <si>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</si>
  <si>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</si>
  <si>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</si>
  <si>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</si>
  <si>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</si>
  <si>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</si>
  <si>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</si>
  <si>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</si>
  <si>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</si>
  <si>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</si>
  <si>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</si>
  <si>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</si>
  <si>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</si>
  <si>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</si>
  <si>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</si>
  <si>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</si>
  <si>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</si>
  <si>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</si>
  <si>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</si>
  <si>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</si>
  <si>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</si>
  <si>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</si>
  <si>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</si>
  <si>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</si>
  <si>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</si>
  <si>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</si>
  <si>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</si>
  <si>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</si>
  <si>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</si>
  <si>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</si>
  <si>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</si>
  <si>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</si>
  <si>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</si>
  <si>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</si>
  <si>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</si>
  <si>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</si>
  <si>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</si>
  <si>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</si>
  <si>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</si>
  <si>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</si>
  <si>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</si>
  <si>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</si>
  <si>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</si>
  <si>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</si>
  <si>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</si>
  <si>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</si>
  <si>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</si>
  <si>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</si>
  <si>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</si>
  <si>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</si>
  <si>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</si>
  <si>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</si>
  <si>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</si>
  <si>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</si>
  <si>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19.5% of revenue against depreciation of 12.1%.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</si>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</sst>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0.19597902823791657</v>
      </c>
    </row>
    <row r="7" spans="1:2" x14ac:dyDescent="0.25">
      <c r="A7" t="s">
        <v>5</v>
      </c>
      <c r="B7" s="6">
        <v>0.3638096511036608</v>
      </c>
    </row>
    <row r="8" spans="1:2" x14ac:dyDescent="0.25">
      <c r="A8" t="s">
        <v>6</v>
      </c>
      <c r="B8" s="6">
        <v>0.2219195305951383</v>
      </c>
    </row>
    <row r="9" spans="1:2" x14ac:dyDescent="0.25">
      <c r="A9" t="s">
        <v>7</v>
      </c>
      <c r="B9" s="6">
        <v>0.12105022481165634</v>
      </c>
    </row>
    <row r="10" spans="1:2" x14ac:dyDescent="0.25">
      <c r="A10" t="s">
        <v>8</v>
      </c>
      <c r="B10" s="6">
        <v>0.1951923221344642</v>
      </c>
    </row>
    <row r="11" spans="1:2" x14ac:dyDescent="0.25">
      <c r="A11" t="s">
        <v>9</v>
      </c>
      <c r="B11" s="6">
        <v>0.08233092755947607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17.176466777136863</v>
      </c>
    </row>
    <row r="14" spans="1:3" x14ac:dyDescent="0.25">
      <c r="A14" t="s">
        <v>12</v>
      </c>
      <c r="B14" s="6">
        <v>0.08408450591571595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1.1474</v>
      </c>
      <c r="C19" s="8" t="s">
        <v>19</v>
      </c>
    </row>
    <row r="20" spans="1:2" x14ac:dyDescent="0.25">
      <c r="A20" t="s">
        <v>20</v>
      </c>
      <c r="B20" s="10">
        <f>B17+B19*B18</f>
        <v>0.096107</v>
      </c>
    </row>
    <row r="21" spans="1:3" x14ac:dyDescent="0.25">
      <c r="A21" t="s">
        <v>21</v>
      </c>
      <c r="B21" s="6">
        <v>0.037607057762895225</v>
      </c>
      <c r="C21" s="8" t="s">
        <v>22</v>
      </c>
    </row>
    <row r="22" spans="1:2" x14ac:dyDescent="0.25">
      <c r="A22" t="s">
        <v>23</v>
      </c>
      <c r="B22" s="11">
        <v>107608088576</v>
      </c>
    </row>
    <row r="23" spans="1:2" x14ac:dyDescent="0.25">
      <c r="A23" t="s">
        <v>24</v>
      </c>
      <c r="B23" s="11">
        <v>23598000000</v>
      </c>
    </row>
    <row r="24" spans="1:2" x14ac:dyDescent="0.25">
      <c r="A24" t="s">
        <v>25</v>
      </c>
      <c r="B24" s="10">
        <f>B22/(B22+B23)</f>
        <v>0.8201455415970955</v>
      </c>
    </row>
    <row r="25" spans="1:2" x14ac:dyDescent="0.25">
      <c r="A25" t="s">
        <v>26</v>
      </c>
      <c r="B25" s="10">
        <f>1-B24</f>
        <v>0.17985445840290448</v>
      </c>
    </row>
    <row r="26" spans="1:2" x14ac:dyDescent="0.25">
      <c r="A26" t="s">
        <v>27</v>
      </c>
      <c r="B26" s="12">
        <f>B24*B20+B25*B21*(1-B8)</f>
        <v>0.08408450591571595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15078000000</v>
      </c>
      <c r="C29" s="8" t="s">
        <v>30</v>
      </c>
    </row>
    <row r="30" spans="1:2" x14ac:dyDescent="0.25">
      <c r="A30" t="s">
        <v>31</v>
      </c>
      <c r="B30" s="11">
        <v>23414000000</v>
      </c>
    </row>
    <row r="31" spans="1:2" x14ac:dyDescent="0.25">
      <c r="A31" t="s">
        <v>32</v>
      </c>
      <c r="B31" s="13">
        <v>917100000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0.19597902823791657</v>
      </c>
      <c r="C5" s="10">
        <f>Assumptions!B6</f>
        <v>0.19597902823791657</v>
      </c>
      <c r="D5" s="10">
        <f>Assumptions!B6</f>
        <v>0.19597902823791657</v>
      </c>
      <c r="E5" s="10">
        <f>Assumptions!B6</f>
        <v>0.19597902823791657</v>
      </c>
      <c r="F5" s="10">
        <f>Assumptions!B6</f>
        <v>0.19597902823791657</v>
      </c>
    </row>
    <row r="6" spans="1:6" x14ac:dyDescent="0.25">
      <c r="A6" t="s">
        <v>43</v>
      </c>
      <c r="B6" s="18">
        <f>Assumptions!B29*(1+B5)</f>
        <v>18032971787.771305</v>
      </c>
      <c r="C6" s="18">
        <f>B6*(1+C5)</f>
        <v>21567056074.98049</v>
      </c>
      <c r="D6" s="18">
        <f>C6*(1+D5)</f>
        <v>25793746766.507824</v>
      </c>
      <c r="E6" s="18">
        <f>D6*(1+E5)</f>
        <v>30848780192.42293</v>
      </c>
      <c r="F6" s="18">
        <f>E6*(1+F5)</f>
        <v>36894494156.85907</v>
      </c>
    </row>
    <row r="7" spans="1:6" x14ac:dyDescent="0.25">
      <c r="A7" t="s">
        <v>5</v>
      </c>
      <c r="B7" s="10">
        <f>Assumptions!B7</f>
        <v>0.3638096511036608</v>
      </c>
      <c r="C7" s="10">
        <f>Assumptions!B7</f>
        <v>0.3638096511036608</v>
      </c>
      <c r="D7" s="10">
        <f>Assumptions!B7</f>
        <v>0.3638096511036608</v>
      </c>
      <c r="E7" s="10">
        <f>Assumptions!B7</f>
        <v>0.3638096511036608</v>
      </c>
      <c r="F7" s="10">
        <f>Assumptions!B7</f>
        <v>0.3638096511036608</v>
      </c>
    </row>
    <row r="8" spans="1:6" x14ac:dyDescent="0.25">
      <c r="A8" t="s">
        <v>44</v>
      </c>
      <c r="B8" s="18">
        <f>B6*B7</f>
        <v>6560569174.471237</v>
      </c>
      <c r="C8" s="18">
        <f>C6*C7</f>
        <v>7846303145.971741</v>
      </c>
      <c r="D8" s="18">
        <f>D6*D7</f>
        <v>9384014011.77939</v>
      </c>
      <c r="E8" s="18">
        <f>E6*E7</f>
        <v>11223083958.77891</v>
      </c>
      <c r="F8" s="18">
        <f>F6*F7</f>
        <v>13422573046.852951</v>
      </c>
    </row>
    <row r="9" spans="1:6" x14ac:dyDescent="0.25">
      <c r="A9" t="s">
        <v>45</v>
      </c>
      <c r="B9" s="18">
        <f>B8*(1-Assumptions!B8)</f>
        <v>5104650742.835647</v>
      </c>
      <c r="C9" s="18">
        <f>C8*(1-Assumptions!B8)</f>
        <v>6105055234.910536</v>
      </c>
      <c r="D9" s="18">
        <f>D8*(1-Assumptions!B8)</f>
        <v>7301518027.187108</v>
      </c>
      <c r="E9" s="18">
        <f>E8*(1-Assumptions!B8)</f>
        <v>8732462434.816868</v>
      </c>
      <c r="F9" s="18">
        <f>F8*(1-Assumptions!B8)</f>
        <v>10443841936.91639</v>
      </c>
    </row>
    <row r="10" spans="1:6" x14ac:dyDescent="0.25">
      <c r="A10" t="s">
        <v>46</v>
      </c>
      <c r="B10" s="18">
        <f>B6*Assumptions!B9</f>
        <v>2182895288.931973</v>
      </c>
      <c r="C10" s="18">
        <f>C6*Assumptions!B9</f>
        <v>2610696986.401987</v>
      </c>
      <c r="D10" s="18">
        <f>D6*Assumptions!B9</f>
        <v>3122338844.820706</v>
      </c>
      <c r="E10" s="18">
        <f>E6*Assumptions!B9</f>
        <v>3734251777.458167</v>
      </c>
      <c r="F10" s="18">
        <f>F6*Assumptions!B9</f>
        <v>4466086812.000132</v>
      </c>
    </row>
    <row r="11" spans="1:6" x14ac:dyDescent="0.25">
      <c r="A11" t="s">
        <v>47</v>
      </c>
      <c r="B11" s="18">
        <f>-B6*Assumptions!B10</f>
        <v>-3519897638.240361</v>
      </c>
      <c r="C11" s="18">
        <f>-C6*Assumptions!B10</f>
        <v>-4209723756.879645</v>
      </c>
      <c r="D11" s="18">
        <f>-D6*Assumptions!B10</f>
        <v>-5034741327.902989</v>
      </c>
      <c r="E11" s="18">
        <f>-E6*Assumptions!B10</f>
        <v>-6021445040.774695</v>
      </c>
      <c r="F11" s="18">
        <f>-F6*Assumptions!B10</f>
        <v>-7201521988.453742</v>
      </c>
    </row>
    <row r="12" spans="1:6" x14ac:dyDescent="0.25">
      <c r="A12" t="s">
        <v>48</v>
      </c>
      <c r="B12" s="18">
        <f>-(B6-Assumptions!B29)*Assumptions!B11</f>
        <v>-243285568.19929484</v>
      </c>
      <c r="C12" s="18">
        <f>-(C6-B6)*Assumptions!B11</f>
        <v>-290964437.4393022</v>
      </c>
      <c r="D12" s="18">
        <f>-(D6-C6)*Assumptions!B11</f>
        <v>-347987365.14044863</v>
      </c>
      <c r="E12" s="18">
        <f>-(E6-D6)*Assumptions!B11</f>
        <v>-416185590.79974693</v>
      </c>
      <c r="F12" s="18">
        <f>-(F6-E6)*Assumptions!B11</f>
        <v>-497749238.4513046</v>
      </c>
    </row>
    <row r="13" spans="1:6" x14ac:dyDescent="0.25">
      <c r="A13" s="19" t="s">
        <v>49</v>
      </c>
      <c r="B13" s="20">
        <f>B9+B10+B11+B12</f>
        <v>3524362825.327964</v>
      </c>
      <c r="C13" s="20">
        <f>C9+C10+C11+C12</f>
        <v>4215064026.993576</v>
      </c>
      <c r="D13" s="20">
        <f>D9+D10+D11+D12</f>
        <v>5041128178.964376</v>
      </c>
      <c r="E13" s="20">
        <f>E9+E10+E11+E12</f>
        <v>6029083580.700594</v>
      </c>
      <c r="F13" s="20">
        <f>F9+F10+F11+F12</f>
        <v>7210657522.011475</v>
      </c>
    </row>
    <row r="14" spans="1:6" x14ac:dyDescent="0.25">
      <c r="A14" t="s">
        <v>50</v>
      </c>
      <c r="B14" s="21">
        <f>1/(1+Assumptions!$B$26)^(1-0.5*Assumptions!$B$32)</f>
        <v>0.96043600213522</v>
      </c>
      <c r="C14" s="21">
        <f>1/(1+Assumptions!$B$26)^(2-0.5*Assumptions!$B$32)</f>
        <v>0.8859420062681819</v>
      </c>
      <c r="D14" s="21">
        <f>1/(1+Assumptions!$B$26)^(3-0.5*Assumptions!$B$32)</f>
        <v>0.8172259647967526</v>
      </c>
      <c r="E14" s="21">
        <f>1/(1+Assumptions!$B$26)^(4-0.5*Assumptions!$B$32)</f>
        <v>0.7538397240595643</v>
      </c>
      <c r="F14" s="21">
        <f>1/(1+Assumptions!$B$26)^(5-0.5*Assumptions!$B$32)</f>
        <v>0.6953698903968772</v>
      </c>
    </row>
    <row r="15" spans="1:6" x14ac:dyDescent="0.25">
      <c r="A15" s="19" t="s">
        <v>51</v>
      </c>
      <c r="B15" s="20">
        <f>B13*B14</f>
        <v>3384924942.031978</v>
      </c>
      <c r="C15" s="20">
        <f>C13*C14</f>
        <v>3734302280.623531</v>
      </c>
      <c r="D15" s="20">
        <f>D13*D14</f>
        <v>4119740839.718259</v>
      </c>
      <c r="E15" s="20">
        <f>E13*E14</f>
        <v>4544962702.807385</v>
      </c>
      <c r="F15" s="20">
        <f>F13*F14</f>
        <v>5014074130.770537</v>
      </c>
    </row>
    <row r="17" spans="1:2" x14ac:dyDescent="0.25">
      <c r="A17" s="22" t="s">
        <v>52</v>
      </c>
      <c r="B17" s="23">
        <f>SUM(B15:F15)</f>
        <v>20798004895.95169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7210657522.011475</v>
      </c>
    </row>
    <row r="5" spans="1:2" x14ac:dyDescent="0.25">
      <c r="A5" t="s">
        <v>56</v>
      </c>
      <c r="B5" s="18">
        <f>IF(Assumptions!$B$33=0,B4,B4-Forecast!F11-Forecast!F10-Forecast!F12)</f>
        <v>10443841936.91639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0.2973199369817232</v>
      </c>
    </row>
    <row r="7" spans="1:2" x14ac:dyDescent="0.25">
      <c r="A7" t="s">
        <v>58</v>
      </c>
      <c r="B7" s="18">
        <f>-MAX(Forecast!F9,0)*B6</f>
        <v>-3105162426.531059</v>
      </c>
    </row>
    <row r="8" spans="1:2" x14ac:dyDescent="0.25">
      <c r="A8" t="s">
        <v>59</v>
      </c>
      <c r="B8" s="18">
        <f>IF(OR(Assumptions!$B$33=0,Assumptions!B12&lt;=0),B5,MAX(B5+B7,0))</f>
        <v>7338679510.38533</v>
      </c>
    </row>
    <row r="9" spans="1:2" x14ac:dyDescent="0.25">
      <c r="A9" t="s">
        <v>60</v>
      </c>
      <c r="B9" s="18">
        <f>B8*(1+Assumptions!B12)/(Assumptions!B26-Assumptions!B12)</f>
        <v>127311659487.77342</v>
      </c>
    </row>
    <row r="10" spans="1:2" x14ac:dyDescent="0.25">
      <c r="A10" t="s">
        <v>61</v>
      </c>
      <c r="B10" s="18">
        <f>B9/(1+Assumptions!B26)^(5-0.5*Assumptions!B32)</f>
        <v>88528694704.25757</v>
      </c>
    </row>
    <row r="11" spans="1:2" x14ac:dyDescent="0.25">
      <c r="A11" t="s">
        <v>62</v>
      </c>
      <c r="B11" s="18">
        <f>Forecast!B17+B10</f>
        <v>109326699600.20926</v>
      </c>
    </row>
    <row r="12" spans="1:2" x14ac:dyDescent="0.25">
      <c r="A12" t="s">
        <v>63</v>
      </c>
      <c r="B12" s="18">
        <f>-Assumptions!B30</f>
        <v>-23414000000</v>
      </c>
    </row>
    <row r="13" spans="1:2" x14ac:dyDescent="0.25">
      <c r="A13" t="s">
        <v>64</v>
      </c>
      <c r="B13" s="18">
        <f>B11+B12</f>
        <v>85912699600.20926</v>
      </c>
    </row>
    <row r="14" spans="1:2" x14ac:dyDescent="0.25">
      <c r="A14" s="19" t="s">
        <v>65</v>
      </c>
      <c r="B14" s="24">
        <f>B13/Assumptions!B31</f>
        <v>93.6786605606905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17888659858.85308</v>
      </c>
    </row>
    <row r="18" spans="1:2" x14ac:dyDescent="0.25">
      <c r="A18" t="s">
        <v>60</v>
      </c>
      <c r="B18" s="18">
        <f>B17*Assumptions!B13</f>
        <v>307263971753.09174</v>
      </c>
    </row>
    <row r="19" spans="1:2" x14ac:dyDescent="0.25">
      <c r="A19" t="s">
        <v>61</v>
      </c>
      <c r="B19" s="18">
        <f>B18/(1+Assumptions!B26)^(5-0.5*Assumptions!B32)</f>
        <v>213662114360.8566</v>
      </c>
    </row>
    <row r="20" spans="1:2" x14ac:dyDescent="0.25">
      <c r="A20" t="s">
        <v>62</v>
      </c>
      <c r="B20" s="18">
        <f>Forecast!B17+B19</f>
        <v>234460119256.8083</v>
      </c>
    </row>
    <row r="21" spans="1:2" x14ac:dyDescent="0.25">
      <c r="A21" t="s">
        <v>63</v>
      </c>
      <c r="B21" s="18">
        <f>-Assumptions!B30</f>
        <v>-23414000000</v>
      </c>
    </row>
    <row r="22" spans="1:2" x14ac:dyDescent="0.25">
      <c r="A22" t="s">
        <v>64</v>
      </c>
      <c r="B22" s="18">
        <f>B20+B21</f>
        <v>211046119256.8083</v>
      </c>
    </row>
    <row r="23" spans="1:2" x14ac:dyDescent="0.25">
      <c r="A23" s="19" t="s">
        <v>65</v>
      </c>
      <c r="B23" s="25">
        <f>B22/Assumptions!B31</f>
        <v>230.12334451729177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122.41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93.6786605606905</v>
      </c>
    </row>
    <row r="29" spans="1:2" x14ac:dyDescent="0.25">
      <c r="A29" s="19" t="s">
        <v>73</v>
      </c>
      <c r="B29" s="12">
        <f>B28/B26-1</f>
        <v>-0.23471398937431165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0.064085</v>
      </c>
      <c r="B5" s="31">
        <v>134.70591445903554</v>
      </c>
      <c r="C5" s="31">
        <v>135.3777512260381</v>
      </c>
      <c r="D5" s="31">
        <v>136.04958799304063</v>
      </c>
      <c r="E5" s="31">
        <v>136.72142476004322</v>
      </c>
      <c r="F5" s="31">
        <v>137.39326152704578</v>
      </c>
    </row>
    <row r="6" spans="1:6" x14ac:dyDescent="0.25">
      <c r="A6" s="30">
        <v>0.074085</v>
      </c>
      <c r="B6" s="31">
        <v>110.8342830390986</v>
      </c>
      <c r="C6" s="31">
        <v>111.39148082763026</v>
      </c>
      <c r="D6" s="31">
        <v>111.94867861616197</v>
      </c>
      <c r="E6" s="31">
        <v>112.50587640469364</v>
      </c>
      <c r="F6" s="31">
        <v>113.06307419322532</v>
      </c>
    </row>
    <row r="7" spans="1:6" x14ac:dyDescent="0.25">
      <c r="A7" s="30">
        <v>0.084085</v>
      </c>
      <c r="B7" s="31">
        <v>92.73610789686734</v>
      </c>
      <c r="C7" s="31">
        <v>93.20698770061827</v>
      </c>
      <c r="D7" s="32">
        <v>93.67786750436917</v>
      </c>
      <c r="E7" s="31">
        <v>94.14874730812014</v>
      </c>
      <c r="F7" s="31">
        <v>94.61962711187104</v>
      </c>
    </row>
    <row r="8" spans="1:6" x14ac:dyDescent="0.25">
      <c r="A8" s="30">
        <v>0.094085</v>
      </c>
      <c r="B8" s="31">
        <v>78.56577915895394</v>
      </c>
      <c r="C8" s="31">
        <v>78.96957647189623</v>
      </c>
      <c r="D8" s="31">
        <v>79.37337378483852</v>
      </c>
      <c r="E8" s="31">
        <v>79.7771710977808</v>
      </c>
      <c r="F8" s="31">
        <v>80.18096841072308</v>
      </c>
    </row>
    <row r="9" spans="1:6" x14ac:dyDescent="0.25">
      <c r="A9" s="30">
        <v>0.104085</v>
      </c>
      <c r="B9" s="31">
        <v>67.18722787095953</v>
      </c>
      <c r="C9" s="31">
        <v>67.53758758348805</v>
      </c>
      <c r="D9" s="31">
        <v>67.88794729601656</v>
      </c>
      <c r="E9" s="31">
        <v>68.23830700854506</v>
      </c>
      <c r="F9" s="31">
        <v>68.58866672107358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15078000000</v>
      </c>
      <c r="C5" s="18">
        <v>14546000000</v>
      </c>
      <c r="D5" s="18">
        <v>12555000000</v>
      </c>
      <c r="E5" s="18">
        <v>8814000000</v>
      </c>
      <c r="F5" s="8" t="s">
        <v>84</v>
      </c>
    </row>
    <row r="6" spans="1:6" x14ac:dyDescent="0.25">
      <c r="A6" t="s">
        <v>44</v>
      </c>
      <c r="B6" s="18">
        <v>5609000000</v>
      </c>
      <c r="C6" s="18">
        <v>5179000000</v>
      </c>
      <c r="D6" s="18">
        <v>4388000000</v>
      </c>
      <c r="E6" s="18">
        <v>3329000000</v>
      </c>
      <c r="F6" s="8" t="s">
        <v>85</v>
      </c>
    </row>
    <row r="7" spans="1:6" x14ac:dyDescent="0.25">
      <c r="A7" t="s">
        <v>86</v>
      </c>
      <c r="B7" s="18">
        <v>2019000000</v>
      </c>
      <c r="C7" s="18">
        <v>1900000000</v>
      </c>
      <c r="D7" s="18">
        <v>1543000000</v>
      </c>
      <c r="E7" s="18">
        <v>853000000</v>
      </c>
      <c r="F7" s="8" t="s">
        <v>87</v>
      </c>
    </row>
    <row r="8" spans="1:6" x14ac:dyDescent="0.25">
      <c r="A8" t="s">
        <v>88</v>
      </c>
      <c r="B8" s="18">
        <v>3140000000</v>
      </c>
      <c r="C8" s="18">
        <v>2863000000</v>
      </c>
      <c r="D8" s="18">
        <v>2499000000</v>
      </c>
      <c r="E8" s="18">
        <v>1557000000</v>
      </c>
      <c r="F8" s="8" t="s">
        <v>89</v>
      </c>
    </row>
    <row r="9" spans="1:6" x14ac:dyDescent="0.25">
      <c r="A9" t="s">
        <v>90</v>
      </c>
      <c r="B9" s="18">
        <v>196000000</v>
      </c>
      <c r="C9" s="18">
        <v>-24000000</v>
      </c>
      <c r="D9" s="18">
        <v>308000000</v>
      </c>
      <c r="E9" s="18">
        <v>92000000</v>
      </c>
      <c r="F9" s="8" t="s">
        <v>91</v>
      </c>
    </row>
    <row r="10" spans="1:6" x14ac:dyDescent="0.25">
      <c r="A10" t="s">
        <v>92</v>
      </c>
      <c r="B10" s="18">
        <v>23598000000</v>
      </c>
      <c r="C10" s="18">
        <v>22989000000</v>
      </c>
      <c r="D10" s="18">
        <v>22838000000</v>
      </c>
      <c r="E10" s="18">
        <v>19921000000</v>
      </c>
      <c r="F10" s="8" t="s">
        <v>93</v>
      </c>
    </row>
    <row r="11" spans="1:6" x14ac:dyDescent="0.25">
      <c r="A11" t="s">
        <v>94</v>
      </c>
      <c r="B11" s="18">
        <v>184000000</v>
      </c>
      <c r="C11" s="18">
        <v>739000000</v>
      </c>
      <c r="D11" s="18">
        <v>464000000</v>
      </c>
      <c r="E11" s="18">
        <v>451000000</v>
      </c>
      <c r="F11" s="8" t="s">
        <v>95</v>
      </c>
    </row>
    <row r="12" spans="1:6" x14ac:dyDescent="0.25">
      <c r="A12" t="s">
        <v>32</v>
      </c>
      <c r="B12" s="34">
        <v>917100000</v>
      </c>
      <c r="C12" s="34">
        <v>934600000</v>
      </c>
      <c r="D12" s="34">
        <v>933700000</v>
      </c>
      <c r="E12" s="34">
        <v>932900000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2026-09-19T01:04:21Z</dcterms:modified>
</cp:coreProperties>
</file>