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<sst xmlns="http://schemas.openxmlformats.org/spreadsheetml/2006/main" count="119" uniqueCount="106">
  <si>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Corpay, Inc. (CPAY)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</si>
  <si>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</si>
  <si>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</si>
  <si>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</si>
  <si>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</si>
  <si>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</si>
  <si>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</si>
  <si>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</si>
  <si>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</si>
  <si>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</si>
  <si>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</si>
  <si>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</si>
  <si>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</si>
  <si>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</si>
  <si>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</si>
  <si>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</si>
  <si>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</si>
  <si>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</si>
  <si>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</si>
  <si>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</si>
  <si>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</si>
  <si>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</si>
  <si>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</si>
  <si>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</si>
  <si>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4.8x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</si>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</sst>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0.17491506608400353</v>
      </c>
    </row>
    <row r="7" spans="1:2" x14ac:dyDescent="0.25">
      <c r="A7" t="s">
        <v>4</v>
      </c>
      <c r="B7" s="5">
        <v>0.4339577981683417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0.08970019827303642</v>
      </c>
    </row>
    <row r="10" spans="1:3" x14ac:dyDescent="0.25">
      <c r="A10" t="s">
        <v>7</v>
      </c>
      <c r="B10" s="5">
        <v>0.04338166158958341</v>
      </c>
      <c r="C10" s="6" t="s">
        <v>8</v>
      </c>
    </row>
    <row r="11" spans="1:2" x14ac:dyDescent="0.25">
      <c r="A11" t="s">
        <v>9</v>
      </c>
      <c r="B11" s="5">
        <v>0.1368233778873134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14.463530817218516</v>
      </c>
    </row>
    <row r="14" spans="1:3" x14ac:dyDescent="0.25">
      <c r="A14" t="s">
        <v>12</v>
      </c>
      <c r="B14" s="5">
        <v>0.12203687628226365</v>
      </c>
      <c r="C14" s="6" t="s">
        <v>13</v>
      </c>
    </row>
    <row r="15" spans="1:3" x14ac:dyDescent="0.25">
      <c r="A15" t="s">
        <v>14</v>
      </c>
      <c r="B15" s="5">
        <v>0.028824826389453634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0.92898</v>
      </c>
      <c r="C19" s="6" t="s">
        <v>21</v>
      </c>
    </row>
    <row r="20" spans="1:2" x14ac:dyDescent="0.25">
      <c r="A20" t="s">
        <v>22</v>
      </c>
      <c r="B20" s="9">
        <f>B17+B19*B18</f>
        <v>0.088235854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26325559296</v>
      </c>
    </row>
    <row r="23" spans="1:2" x14ac:dyDescent="0.25">
      <c r="A23" t="s">
        <v>26</v>
      </c>
      <c r="B23" s="10">
        <v>10001687000</v>
      </c>
    </row>
    <row r="24" spans="1:2" x14ac:dyDescent="0.25">
      <c r="A24" t="s">
        <v>27</v>
      </c>
      <c r="B24" s="9">
        <f>B22/(B22+B23)</f>
        <v>0.7246780854649781</v>
      </c>
    </row>
    <row r="25" spans="1:2" x14ac:dyDescent="0.25">
      <c r="A25" t="s">
        <v>28</v>
      </c>
      <c r="B25" s="9">
        <f>1-B24</f>
        <v>0.27532191453502186</v>
      </c>
    </row>
    <row r="26" spans="1:2" x14ac:dyDescent="0.25">
      <c r="A26" t="s">
        <v>29</v>
      </c>
      <c r="B26" s="11">
        <f>B24*B20+B25*B21*(1-B8)</f>
        <v>0.07628378443635388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4528403000</v>
      </c>
      <c r="C29" s="6" t="s">
        <v>32</v>
      </c>
    </row>
    <row r="30" spans="1:2" x14ac:dyDescent="0.25">
      <c r="A30" t="s">
        <v>33</v>
      </c>
      <c r="B30" s="10">
        <v>7593590000</v>
      </c>
    </row>
    <row r="31" spans="1:2" x14ac:dyDescent="0.25">
      <c r="A31" t="s">
        <v>34</v>
      </c>
      <c r="B31" s="12">
        <v>71058000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0.17491506608400353</v>
      </c>
      <c r="C5" s="5">
        <v>0.08639471254907671</v>
      </c>
      <c r="D5" s="5">
        <v>0.07872037348044213</v>
      </c>
      <c r="E5" s="5">
        <v>0.07104603441180754</v>
      </c>
      <c r="F5" s="5">
        <v>0.06337169534317294</v>
      </c>
      <c r="G5" s="5">
        <v>0.055697356274538354</v>
      </c>
      <c r="H5" s="5">
        <v>0.04802301720590377</v>
      </c>
      <c r="I5" s="5">
        <v>0.04034867813726918</v>
      </c>
      <c r="J5" s="5">
        <v>0.03267433906863459</v>
      </c>
      <c r="K5" s="5">
        <v>0.025</v>
      </c>
    </row>
    <row r="6" spans="1:11" x14ac:dyDescent="0.25">
      <c r="A6" t="s">
        <v>50</v>
      </c>
      <c r="B6" s="18">
        <f>Assumptions!B29*(1+B5)</f>
        <v>5320488910</v>
      </c>
      <c r="C6" s="18">
        <f>B6*(1+C5)</f>
        <v>5780151020.000001</v>
      </c>
      <c r="D6" s="18">
        <f>C6*(1+D5)</f>
        <v>6235166667.067759</v>
      </c>
      <c r="E6" s="18">
        <f>D6*(1+E5)</f>
        <v>6678150532.65961</v>
      </c>
      <c r="F6" s="18">
        <f>E6*(1+F5)</f>
        <v>7101356253.671163</v>
      </c>
      <c r="G6" s="18">
        <f>F6*(1+G5)</f>
        <v>7496883022.964307</v>
      </c>
      <c r="H6" s="18">
        <f>G6*(1+H5)</f>
        <v>7856905965.36677</v>
      </c>
      <c r="I6" s="18">
        <f>H6*(1+I5)</f>
        <v>8173921735.318145</v>
      </c>
      <c r="J6" s="18">
        <f>I6*(1+J5)</f>
        <v>8440999225.618412</v>
      </c>
      <c r="K6" s="18">
        <f>J6*(1+K5)</f>
        <v>8652024206.258871</v>
      </c>
    </row>
    <row r="7" spans="1:11" x14ac:dyDescent="0.25">
      <c r="A7" t="s">
        <v>4</v>
      </c>
      <c r="B7" s="9">
        <f>Assumptions!B7</f>
        <v>0.4339577981683417</v>
      </c>
      <c r="C7" s="9">
        <f>Assumptions!B7</f>
        <v>0.4339577981683417</v>
      </c>
      <c r="D7" s="9">
        <f>Assumptions!B7</f>
        <v>0.4339577981683417</v>
      </c>
      <c r="E7" s="9">
        <f>Assumptions!B7</f>
        <v>0.4339577981683417</v>
      </c>
      <c r="F7" s="9">
        <f>Assumptions!B7</f>
        <v>0.4339577981683417</v>
      </c>
      <c r="G7" s="9">
        <f>Assumptions!B7</f>
        <v>0.4339577981683417</v>
      </c>
      <c r="H7" s="9">
        <f>Assumptions!B7</f>
        <v>0.4339577981683417</v>
      </c>
      <c r="I7" s="9">
        <f>Assumptions!B7</f>
        <v>0.4339577981683417</v>
      </c>
      <c r="J7" s="9">
        <f>Assumptions!B7</f>
        <v>0.4339577981683417</v>
      </c>
      <c r="K7" s="9">
        <f>Assumptions!B7</f>
        <v>0.4339577981683417</v>
      </c>
    </row>
    <row r="8" spans="1:11" x14ac:dyDescent="0.25">
      <c r="A8" t="s">
        <v>51</v>
      </c>
      <c r="B8" s="18">
        <f>B6*B7</f>
        <v>2308867652.5626802</v>
      </c>
      <c r="C8" s="18">
        <f>C6*C7</f>
        <v>2508341609.7196946</v>
      </c>
      <c r="D8" s="18">
        <f>D6*D7</f>
        <v>2705799198.053362</v>
      </c>
      <c r="E8" s="18">
        <f>E6*E7</f>
        <v>2898035500.989702</v>
      </c>
      <c r="F8" s="18">
        <f>F6*F7</f>
        <v>3081688923.8521214</v>
      </c>
      <c r="G8" s="18">
        <f>G6*G7</f>
        <v>3253330849.771212</v>
      </c>
      <c r="H8" s="18">
        <f>H6*H7</f>
        <v>3409565613.1462727</v>
      </c>
      <c r="I8" s="18">
        <f>I6*I7</f>
        <v>3547137078.659013</v>
      </c>
      <c r="J8" s="18">
        <f>J6*J7</f>
        <v>3663037438.2900434</v>
      </c>
      <c r="K8" s="18">
        <f>K6*K7</f>
        <v>3754613374.247294</v>
      </c>
    </row>
    <row r="9" spans="1:11" x14ac:dyDescent="0.25">
      <c r="A9" t="s">
        <v>52</v>
      </c>
      <c r="B9" s="18">
        <f>B8*(1-Assumptions!B8)</f>
        <v>1824005445.5245175</v>
      </c>
      <c r="C9" s="18">
        <f>C8*(1-Assumptions!B8)</f>
        <v>1981589871.6785588</v>
      </c>
      <c r="D9" s="18">
        <f>D8*(1-Assumptions!B8)</f>
        <v>2137581366.462156</v>
      </c>
      <c r="E9" s="18">
        <f>E8*(1-Assumptions!B8)</f>
        <v>2289448045.7818646</v>
      </c>
      <c r="F9" s="18">
        <f>F8*(1-Assumptions!B8)</f>
        <v>2434534249.843176</v>
      </c>
      <c r="G9" s="18">
        <f>G8*(1-Assumptions!B8)</f>
        <v>2570131371.3192577</v>
      </c>
      <c r="H9" s="18">
        <f>H8*(1-Assumptions!B8)</f>
        <v>2693556834.3855557</v>
      </c>
      <c r="I9" s="18">
        <f>I8*(1-Assumptions!B8)</f>
        <v>2802238292.14062</v>
      </c>
      <c r="J9" s="18">
        <f>J8*(1-Assumptions!B8)</f>
        <v>2893799576.2491345</v>
      </c>
      <c r="K9" s="18">
        <f>K8*(1-Assumptions!B8)</f>
        <v>2966144565.655362</v>
      </c>
    </row>
    <row r="10" spans="1:11" x14ac:dyDescent="0.25">
      <c r="A10" t="s">
        <v>53</v>
      </c>
      <c r="B10" s="18">
        <f>B6*Assumptions!B9</f>
        <v>477248910.1364914</v>
      </c>
      <c r="C10" s="18">
        <f>C6*Assumptions!B9</f>
        <v>518480692.5420938</v>
      </c>
      <c r="D10" s="18">
        <f>D6*Assumptions!B9</f>
        <v>559295686.3014057</v>
      </c>
      <c r="E10" s="18">
        <f>E6*Assumptions!B9</f>
        <v>599031426.8767508</v>
      </c>
      <c r="F10" s="18">
        <f>F6*Assumptions!B9</f>
        <v>636993063.9617704</v>
      </c>
      <c r="G10" s="18">
        <f>G6*Assumptions!B9</f>
        <v>672471893.589659</v>
      </c>
      <c r="H10" s="18">
        <f>H6*Assumptions!B9</f>
        <v>704766022.9060019</v>
      </c>
      <c r="I10" s="18">
        <f>I6*Assumptions!B9</f>
        <v>733202400.3263196</v>
      </c>
      <c r="J10" s="18">
        <f>J6*Assumptions!B9</f>
        <v>757159304.1605184</v>
      </c>
      <c r="K10" s="18">
        <f>K6*Assumptions!B9</f>
        <v>776088286.7645313</v>
      </c>
    </row>
    <row r="11" spans="1:11" x14ac:dyDescent="0.25">
      <c r="A11" t="s">
        <v>54</v>
      </c>
      <c r="B11" s="18">
        <f>-B6*B19</f>
        <v>-230811649.38475153</v>
      </c>
      <c r="C11" s="18">
        <f>-C6*C19</f>
        <v>-292835361.32825583</v>
      </c>
      <c r="D11" s="18">
        <f>-D6*D19</f>
        <v>-361283050.3752084</v>
      </c>
      <c r="E11" s="18">
        <f>-E6*E19</f>
        <v>-435571534.38078463</v>
      </c>
      <c r="F11" s="18">
        <f>-F6*F19</f>
        <v>-514876376.669018</v>
      </c>
      <c r="G11" s="18">
        <f>-G6*G19</f>
        <v>-598135226.502387</v>
      </c>
      <c r="H11" s="18">
        <f>-H6*H19</f>
        <v>-684062254.5852579</v>
      </c>
      <c r="I11" s="18">
        <f>-I6*I19</f>
        <v>-771174088.2780501</v>
      </c>
      <c r="J11" s="18">
        <f>-J6*J19</f>
        <v>-857826994.7816322</v>
      </c>
      <c r="K11" s="18">
        <f>-K6*K19</f>
        <v>-942264355.0849686</v>
      </c>
    </row>
    <row r="12" spans="1:11" x14ac:dyDescent="0.25">
      <c r="A12" t="s">
        <v>55</v>
      </c>
      <c r="B12" s="18">
        <f>-(B6-Assumptions!B29)*Assumptions!B11</f>
        <v>-108375869.78314652</v>
      </c>
      <c r="C12" s="18">
        <f>-(C6-B6)*Assumptions!B11</f>
        <v>-62892522.57700995</v>
      </c>
      <c r="D12" s="18">
        <f>-(D6-C6)*Assumptions!B11</f>
        <v>-62256777.82339223</v>
      </c>
      <c r="E12" s="18">
        <f>-(E6-D6)*Assumptions!B11</f>
        <v>-60610548.839856714</v>
      </c>
      <c r="F12" s="18">
        <f>-(F6-E6)*Assumptions!B11</f>
        <v>-57904436.290036626</v>
      </c>
      <c r="G12" s="18">
        <f>-(G6-F6)*Assumptions!B11</f>
        <v>-54117308.619544104</v>
      </c>
      <c r="H12" s="18">
        <f>-(H6-G6)*Assumptions!B11</f>
        <v>-49259555.09643466</v>
      </c>
      <c r="I12" s="18">
        <f>-(I6-H6)*Assumptions!B11</f>
        <v>-43375168.4882946</v>
      </c>
      <c r="J12" s="18">
        <f>-(J6-I6)*Assumptions!B11</f>
        <v>-36542444.380548745</v>
      </c>
      <c r="K12" s="18">
        <f>-(K6-J6)*Assumptions!B11</f>
        <v>-28873150.669832528</v>
      </c>
    </row>
    <row r="13" spans="1:11" x14ac:dyDescent="0.25">
      <c r="A13" s="19" t="s">
        <v>56</v>
      </c>
      <c r="B13" s="20">
        <f>B9+B10+B11+B12</f>
        <v>1962066836.4931107</v>
      </c>
      <c r="C13" s="20">
        <f>C9+C10+C11+C12</f>
        <v>2144342680.315387</v>
      </c>
      <c r="D13" s="20">
        <f>D9+D10+D11+D12</f>
        <v>2273337224.564961</v>
      </c>
      <c r="E13" s="20">
        <f>E9+E10+E11+E12</f>
        <v>2392297389.4379745</v>
      </c>
      <c r="F13" s="20">
        <f>F9+F10+F11+F12</f>
        <v>2498746500.845892</v>
      </c>
      <c r="G13" s="20">
        <f>G9+G10+G11+G12</f>
        <v>2590350729.7869854</v>
      </c>
      <c r="H13" s="20">
        <f>H9+H10+H11+H12</f>
        <v>2665001047.609865</v>
      </c>
      <c r="I13" s="20">
        <f>I9+I10+I11+I12</f>
        <v>2720891435.7005954</v>
      </c>
      <c r="J13" s="20">
        <f>J9+J10+J11+J12</f>
        <v>2756589441.2474713</v>
      </c>
      <c r="K13" s="20">
        <f>K9+K10+K11+K12</f>
        <v>2771095346.665092</v>
      </c>
    </row>
    <row r="14" spans="1:11" x14ac:dyDescent="0.25">
      <c r="A14" t="s">
        <v>57</v>
      </c>
      <c r="B14" s="21">
        <f>1/(1+Assumptions!$B$26)^(1-0.5*Assumptions!$B$32)</f>
        <v>0.9639102565461035</v>
      </c>
      <c r="C14" s="21">
        <f>1/(1+Assumptions!$B$26)^(2-0.5*Assumptions!$B$32)</f>
        <v>0.8955911725929234</v>
      </c>
      <c r="D14" s="21">
        <f>1/(1+Assumptions!$B$26)^(3-0.5*Assumptions!$B$32)</f>
        <v>0.8321143415367365</v>
      </c>
      <c r="E14" s="21">
        <f>1/(1+Assumptions!$B$26)^(4-0.5*Assumptions!$B$32)</f>
        <v>0.7731365589350692</v>
      </c>
      <c r="F14" s="21">
        <f>1/(1+Assumptions!$B$26)^(5-0.5*Assumptions!$B$32)</f>
        <v>0.7183389456526637</v>
      </c>
      <c r="G14" s="21">
        <f>1/(1+Assumptions!$B$26)^(6-0.5*Assumptions!$B$32)</f>
        <v>0.667425223756256</v>
      </c>
      <c r="H14" s="21">
        <f>1/(1+Assumptions!$B$26)^(7-0.5*Assumptions!$B$32)</f>
        <v>0.6201201146087918</v>
      </c>
      <c r="I14" s="21">
        <f>1/(1+Assumptions!$B$26)^(8-0.5*Assumptions!$B$32)</f>
        <v>0.5761678505019442</v>
      </c>
      <c r="J14" s="21">
        <f>1/(1+Assumptions!$B$26)^(9-0.5*Assumptions!$B$32)</f>
        <v>0.5353307917796803</v>
      </c>
      <c r="K14" s="21">
        <f>1/(1+Assumptions!$B$26)^(10-0.5*Assumptions!$B$32)</f>
        <v>0.4973881419759856</v>
      </c>
    </row>
    <row r="15" spans="1:11" x14ac:dyDescent="0.25">
      <c r="A15" s="19" t="s">
        <v>58</v>
      </c>
      <c r="B15" s="20">
        <f>B13*B14</f>
        <v>1891256347.7246761</v>
      </c>
      <c r="C15" s="20">
        <f>C13*C14</f>
        <v>1920454375.5047097</v>
      </c>
      <c r="D15" s="20">
        <f>D13*D14</f>
        <v>1891676507.7098246</v>
      </c>
      <c r="E15" s="20">
        <f>E13*E14</f>
        <v>1849572571.6194246</v>
      </c>
      <c r="F15" s="20">
        <f>F13*F14</f>
        <v>1794946926.8709207</v>
      </c>
      <c r="G15" s="20">
        <f>G13*G14</f>
        <v>1728865415.4352598</v>
      </c>
      <c r="H15" s="20">
        <f>H13*H14</f>
        <v>1652620755.0763798</v>
      </c>
      <c r="I15" s="20">
        <f>I13*I14</f>
        <v>1567690169.956761</v>
      </c>
      <c r="J15" s="20">
        <f>J13*J14</f>
        <v>1475687208.1945155</v>
      </c>
      <c r="K15" s="20">
        <f>K13*K14</f>
        <v>1378309965.7160497</v>
      </c>
    </row>
    <row r="17" spans="1:2" x14ac:dyDescent="0.25">
      <c r="A17" s="22" t="s">
        <v>59</v>
      </c>
      <c r="B17" s="23">
        <f>SUM(B15:K15)</f>
        <v>17151080243.80852</v>
      </c>
    </row>
    <row r="19" spans="1:11" x14ac:dyDescent="0.25">
      <c r="A19" t="s">
        <v>7</v>
      </c>
      <c r="B19" s="9">
        <f>Assumptions!$B$10+($B$20-Assumptions!$B$10)*0/9</f>
        <v>0.04338166158958341</v>
      </c>
      <c r="C19" s="9">
        <f>Assumptions!$B$10+($B$20-Assumptions!$B$10)*1/9</f>
        <v>0.05066223361898523</v>
      </c>
      <c r="D19" s="9">
        <f>Assumptions!$B$10+($B$20-Assumptions!$B$10)*2/9</f>
        <v>0.057942805648387045</v>
      </c>
      <c r="E19" s="9">
        <f>Assumptions!$B$10+($B$20-Assumptions!$B$10)*3/9</f>
        <v>0.06522337767778887</v>
      </c>
      <c r="F19" s="9">
        <f>Assumptions!$B$10+($B$20-Assumptions!$B$10)*4/9</f>
        <v>0.07250394970719068</v>
      </c>
      <c r="G19" s="9">
        <f>Assumptions!$B$10+($B$20-Assumptions!$B$10)*5/9</f>
        <v>0.0797845217365925</v>
      </c>
      <c r="H19" s="9">
        <f>Assumptions!$B$10+($B$20-Assumptions!$B$10)*6/9</f>
        <v>0.08706509376599432</v>
      </c>
      <c r="I19" s="9">
        <f>Assumptions!$B$10+($B$20-Assumptions!$B$10)*7/9</f>
        <v>0.09434566579539613</v>
      </c>
      <c r="J19" s="9">
        <f>Assumptions!$B$10+($B$20-Assumptions!$B$10)*8/9</f>
        <v>0.10162623782479796</v>
      </c>
      <c r="K19" s="9">
        <f>Assumptions!$B$10+($B$20-Assumptions!$B$10)*9/9</f>
        <v>0.10890680985419977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0.10890680985419977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2771095346.665092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3382233766.62576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0.20485611203433762</v>
      </c>
    </row>
    <row r="7" spans="1:2" x14ac:dyDescent="0.25">
      <c r="A7" t="s">
        <v>66</v>
      </c>
      <c r="B7" s="18">
        <f>-MAX(B5,0)*B6</f>
        <v>-692871259.4222064</v>
      </c>
    </row>
    <row r="8" spans="1:2" x14ac:dyDescent="0.25">
      <c r="A8" t="s">
        <v>67</v>
      </c>
      <c r="B8" s="18">
        <f>IF(OR(Assumptions!$B$33=0,Assumptions!B12&lt;=0),B5,MAX(B5+B7,0))</f>
        <v>2689362507.2035537</v>
      </c>
    </row>
    <row r="9" spans="1:2" x14ac:dyDescent="0.25">
      <c r="A9" t="s">
        <v>68</v>
      </c>
      <c r="B9" s="18">
        <f>B8*(1+Assumptions!B12)/(Assumptions!B26-Assumptions!B12)</f>
        <v>53751816488.98663</v>
      </c>
    </row>
    <row r="10" spans="1:2" x14ac:dyDescent="0.25">
      <c r="A10" t="s">
        <v>69</v>
      </c>
      <c r="B10" s="18">
        <f>B9/(1+Assumptions!B26)^(10-0.5*Assumptions!B32)</f>
        <v>26735516131.291206</v>
      </c>
    </row>
    <row r="11" spans="1:2" x14ac:dyDescent="0.25">
      <c r="A11" t="s">
        <v>70</v>
      </c>
      <c r="B11" s="18">
        <f>Forecast!B17+B10</f>
        <v>43886596375.099724</v>
      </c>
    </row>
    <row r="12" spans="1:2" x14ac:dyDescent="0.25">
      <c r="A12" t="s">
        <v>71</v>
      </c>
      <c r="B12" s="18">
        <f>-Assumptions!B30</f>
        <v>-7593590000</v>
      </c>
    </row>
    <row r="13" spans="1:2" x14ac:dyDescent="0.25">
      <c r="A13" t="s">
        <v>72</v>
      </c>
      <c r="B13" s="18">
        <f>B11+B12</f>
        <v>36293006375.099724</v>
      </c>
    </row>
    <row r="14" spans="1:2" x14ac:dyDescent="0.25">
      <c r="A14" s="19" t="s">
        <v>73</v>
      </c>
      <c r="B14" s="24">
        <f>B13/Assumptions!B31</f>
        <v>510.7518699527108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4530701661.011826</v>
      </c>
    </row>
    <row r="18" spans="1:2" x14ac:dyDescent="0.25">
      <c r="A18" t="s">
        <v>68</v>
      </c>
      <c r="B18" s="18">
        <f>B17*Assumptions!B13</f>
        <v>65529943097.667656</v>
      </c>
    </row>
    <row r="19" spans="1:2" x14ac:dyDescent="0.25">
      <c r="A19" t="s">
        <v>69</v>
      </c>
      <c r="B19" s="18">
        <f>B18/(1+Assumptions!B26)^(10-0.5*Assumptions!B32)</f>
        <v>32593816641.140976</v>
      </c>
    </row>
    <row r="20" spans="1:2" x14ac:dyDescent="0.25">
      <c r="A20" t="s">
        <v>70</v>
      </c>
      <c r="B20" s="18">
        <f>Forecast!B17+B19</f>
        <v>49744896884.94949</v>
      </c>
    </row>
    <row r="21" spans="1:2" x14ac:dyDescent="0.25">
      <c r="A21" t="s">
        <v>71</v>
      </c>
      <c r="B21" s="18">
        <f>-Assumptions!B30</f>
        <v>-7593590000</v>
      </c>
    </row>
    <row r="22" spans="1:2" x14ac:dyDescent="0.25">
      <c r="A22" t="s">
        <v>72</v>
      </c>
      <c r="B22" s="18">
        <f>B20+B21</f>
        <v>42151306884.94949</v>
      </c>
    </row>
    <row r="23" spans="1:2" x14ac:dyDescent="0.25">
      <c r="A23" s="19" t="s">
        <v>73</v>
      </c>
      <c r="B23" s="25">
        <f>B22/Assumptions!B31</f>
        <v>593.1957961798742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400.94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510.7518699527108</v>
      </c>
    </row>
    <row r="29" spans="1:2" x14ac:dyDescent="0.25">
      <c r="A29" s="19" t="s">
        <v>81</v>
      </c>
      <c r="B29" s="11">
        <f>B28/B26-1</f>
        <v>0.27388604268147554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0.056284</v>
      </c>
      <c r="B5" s="31">
        <v>779.3964709391639</v>
      </c>
      <c r="C5" s="31">
        <v>828.2332582918417</v>
      </c>
      <c r="D5" s="31">
        <v>894.2502826843131</v>
      </c>
      <c r="E5" s="31">
        <v>987.252123160746</v>
      </c>
      <c r="F5" s="31">
        <v>1126.2564569086721</v>
      </c>
    </row>
    <row r="6" spans="1:6" x14ac:dyDescent="0.25">
      <c r="A6" s="30">
        <v>0.066284</v>
      </c>
      <c r="B6" s="31">
        <v>605.9043517725487</v>
      </c>
      <c r="C6" s="31">
        <v>627.8163380639273</v>
      </c>
      <c r="D6" s="31">
        <v>656.1584981089131</v>
      </c>
      <c r="E6" s="31">
        <v>693.5891001884046</v>
      </c>
      <c r="F6" s="31">
        <v>744.4658552894103</v>
      </c>
    </row>
    <row r="7" spans="1:6" x14ac:dyDescent="0.25">
      <c r="A7" s="30">
        <v>0.076284</v>
      </c>
      <c r="B7" s="31">
        <v>489.1100282481965</v>
      </c>
      <c r="C7" s="31">
        <v>498.5795879485018</v>
      </c>
      <c r="D7" s="32">
        <v>510.7493449550111</v>
      </c>
      <c r="E7" s="31">
        <v>526.4943956205262</v>
      </c>
      <c r="F7" s="31">
        <v>547.1137760095053</v>
      </c>
    </row>
    <row r="8" spans="1:6" x14ac:dyDescent="0.25">
      <c r="A8" s="30">
        <v>0.086284</v>
      </c>
      <c r="B8" s="31">
        <v>405.15039621969646</v>
      </c>
      <c r="C8" s="31">
        <v>408.31305854922107</v>
      </c>
      <c r="D8" s="31">
        <v>412.6672754061085</v>
      </c>
      <c r="E8" s="31">
        <v>418.5306027194052</v>
      </c>
      <c r="F8" s="31">
        <v>426.3444385244855</v>
      </c>
    </row>
    <row r="9" spans="1:6" x14ac:dyDescent="0.25">
      <c r="A9" s="30">
        <v>0.096284</v>
      </c>
      <c r="B9" s="31">
        <v>341.90531305302096</v>
      </c>
      <c r="C9" s="31">
        <v>341.69556597955057</v>
      </c>
      <c r="D9" s="31">
        <v>342.00595689549715</v>
      </c>
      <c r="E9" s="31">
        <v>342.95419248484603</v>
      </c>
      <c r="F9" s="31">
        <v>344.6963929437498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4528403000</v>
      </c>
      <c r="C5" s="18">
        <v>3974589000</v>
      </c>
      <c r="D5" s="18">
        <v>3757719000</v>
      </c>
      <c r="E5" s="18">
        <v>3427129000</v>
      </c>
      <c r="F5" s="6" t="s">
        <v>91</v>
      </c>
    </row>
    <row r="6" spans="1:6" x14ac:dyDescent="0.25">
      <c r="A6" t="s">
        <v>51</v>
      </c>
      <c r="B6" s="18">
        <v>1951847000</v>
      </c>
      <c r="C6" s="18">
        <v>1755847000</v>
      </c>
      <c r="D6" s="18">
        <v>1656873000</v>
      </c>
      <c r="E6" s="18">
        <v>1446641000</v>
      </c>
      <c r="F6" s="6" t="s">
        <v>92</v>
      </c>
    </row>
    <row r="7" spans="1:6" x14ac:dyDescent="0.25">
      <c r="A7" t="s">
        <v>93</v>
      </c>
      <c r="B7" s="18">
        <v>393303000</v>
      </c>
      <c r="C7" s="18">
        <v>351088000</v>
      </c>
      <c r="D7" s="18">
        <v>336604000</v>
      </c>
      <c r="E7" s="18">
        <v>322282000</v>
      </c>
      <c r="F7" s="6" t="s">
        <v>94</v>
      </c>
    </row>
    <row r="8" spans="1:6" x14ac:dyDescent="0.25">
      <c r="A8" t="s">
        <v>95</v>
      </c>
      <c r="B8" s="18">
        <v>200756000</v>
      </c>
      <c r="C8" s="18">
        <v>175176000</v>
      </c>
      <c r="D8" s="18">
        <v>153822000</v>
      </c>
      <c r="E8" s="18">
        <v>151428000</v>
      </c>
      <c r="F8" s="6" t="s">
        <v>96</v>
      </c>
    </row>
    <row r="9" spans="1:6" x14ac:dyDescent="0.25">
      <c r="A9" t="s">
        <v>97</v>
      </c>
      <c r="B9" s="18">
        <v>162421000</v>
      </c>
      <c r="C9" s="18">
        <v>-447854000</v>
      </c>
      <c r="D9" s="18">
        <v>-593904000</v>
      </c>
      <c r="E9" s="18">
        <v>752496000</v>
      </c>
      <c r="F9" s="6" t="s">
        <v>98</v>
      </c>
    </row>
    <row r="10" spans="1:6" x14ac:dyDescent="0.25">
      <c r="A10" t="s">
        <v>99</v>
      </c>
      <c r="B10" s="18">
        <v>10001687000</v>
      </c>
      <c r="C10" s="18">
        <v>7996080000</v>
      </c>
      <c r="D10" s="18">
        <v>6722905000</v>
      </c>
      <c r="E10" s="18">
        <v>7036894000</v>
      </c>
      <c r="F10" s="6" t="s">
        <v>100</v>
      </c>
    </row>
    <row r="11" spans="1:6" x14ac:dyDescent="0.25">
      <c r="A11" t="s">
        <v>101</v>
      </c>
      <c r="B11" s="18">
        <v>2408097000</v>
      </c>
      <c r="C11" s="18">
        <v>1553642000</v>
      </c>
      <c r="D11" s="18">
        <v>1389648000</v>
      </c>
      <c r="E11" s="18">
        <v>1435163000</v>
      </c>
      <c r="F11" s="6" t="s">
        <v>102</v>
      </c>
    </row>
    <row r="12" spans="1:6" x14ac:dyDescent="0.25">
      <c r="A12" t="s">
        <v>34</v>
      </c>
      <c r="B12" s="34">
        <v>71058000</v>
      </c>
      <c r="C12" s="34">
        <v>71848000</v>
      </c>
      <c r="D12" s="34">
        <v>74387000</v>
      </c>
      <c r="E12" s="34">
        <v>76862000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