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<sst xmlns="http://schemas.openxmlformats.org/spreadsheetml/2006/main" count="111" uniqueCount="99">
  <si>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Corpay, Inc. (CPAY)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</si>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</sst>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0.097332408585459</v>
      </c>
    </row>
    <row r="7" spans="1:2" x14ac:dyDescent="0.25">
      <c r="A7" t="s">
        <v>5</v>
      </c>
      <c r="B7" s="6">
        <v>0.4339577981683417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0.08970019827303642</v>
      </c>
    </row>
    <row r="10" spans="1:2" x14ac:dyDescent="0.25">
      <c r="A10" t="s">
        <v>8</v>
      </c>
      <c r="B10" s="6">
        <v>0.04338166158958341</v>
      </c>
    </row>
    <row r="11" spans="1:2" x14ac:dyDescent="0.25">
      <c r="A11" t="s">
        <v>9</v>
      </c>
      <c r="B11" s="6">
        <v>-1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14.374497856427094</v>
      </c>
    </row>
    <row r="14" spans="1:3" x14ac:dyDescent="0.25">
      <c r="A14" t="s">
        <v>12</v>
      </c>
      <c r="B14" s="6">
        <v>0.12203687628226365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0.91491</v>
      </c>
      <c r="C19" s="8" t="s">
        <v>19</v>
      </c>
    </row>
    <row r="20" spans="1:2" x14ac:dyDescent="0.25">
      <c r="A20" t="s">
        <v>20</v>
      </c>
      <c r="B20" s="10">
        <f>B17+B19*B18</f>
        <v>0.10030005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26116763648</v>
      </c>
    </row>
    <row r="23" spans="1:2" x14ac:dyDescent="0.25">
      <c r="A23" t="s">
        <v>24</v>
      </c>
      <c r="B23" s="11">
        <v>10001687000</v>
      </c>
    </row>
    <row r="24" spans="1:2" x14ac:dyDescent="0.25">
      <c r="A24" t="s">
        <v>25</v>
      </c>
      <c r="B24" s="10">
        <f>B22/(B22+B23)</f>
        <v>0.7230864884689114</v>
      </c>
    </row>
    <row r="25" spans="1:2" x14ac:dyDescent="0.25">
      <c r="A25" t="s">
        <v>26</v>
      </c>
      <c r="B25" s="10">
        <f>1-B24</f>
        <v>0.27691351153108856</v>
      </c>
    </row>
    <row r="26" spans="1:2" x14ac:dyDescent="0.25">
      <c r="A26" t="s">
        <v>27</v>
      </c>
      <c r="B26" s="12">
        <f>B24*B20+B25*B21*(1-B8)</f>
        <v>0.08345931941975204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4528403000</v>
      </c>
      <c r="C29" s="8" t="s">
        <v>30</v>
      </c>
    </row>
    <row r="30" spans="1:2" x14ac:dyDescent="0.25">
      <c r="A30" t="s">
        <v>31</v>
      </c>
      <c r="B30" s="11">
        <v>7593590000</v>
      </c>
    </row>
    <row r="31" spans="1:2" x14ac:dyDescent="0.25">
      <c r="A31" t="s">
        <v>32</v>
      </c>
      <c r="B31" s="13">
        <v>71058000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0.097332408585459</v>
      </c>
      <c r="C5" s="10">
        <f>Assumptions!B6</f>
        <v>0.097332408585459</v>
      </c>
      <c r="D5" s="10">
        <f>Assumptions!B6</f>
        <v>0.097332408585459</v>
      </c>
      <c r="E5" s="10">
        <f>Assumptions!B6</f>
        <v>0.097332408585459</v>
      </c>
      <c r="F5" s="10">
        <f>Assumptions!B6</f>
        <v>0.097332408585459</v>
      </c>
    </row>
    <row r="6" spans="1:6" x14ac:dyDescent="0.25">
      <c r="A6" t="s">
        <v>43</v>
      </c>
      <c r="B6" s="18">
        <f>Assumptions!B29*(1+B5)</f>
        <v>4969163371.035618</v>
      </c>
      <c r="C6" s="18">
        <f>B6*(1+C5)</f>
        <v>5452824010.593153</v>
      </c>
      <c r="D6" s="18">
        <f>C6*(1+D5)</f>
        <v>5983560505.1368065</v>
      </c>
      <c r="E6" s="18">
        <f>D6*(1+E5)</f>
        <v>6565954861.018598</v>
      </c>
      <c r="F6" s="18">
        <f>E6*(1+F5)</f>
        <v>7205035062.30494</v>
      </c>
    </row>
    <row r="7" spans="1:6" x14ac:dyDescent="0.25">
      <c r="A7" t="s">
        <v>5</v>
      </c>
      <c r="B7" s="10">
        <f>Assumptions!B7</f>
        <v>0.4339577981683417</v>
      </c>
      <c r="C7" s="10">
        <f>Assumptions!B7</f>
        <v>0.4339577981683417</v>
      </c>
      <c r="D7" s="10">
        <f>Assumptions!B7</f>
        <v>0.4339577981683417</v>
      </c>
      <c r="E7" s="10">
        <f>Assumptions!B7</f>
        <v>0.4339577981683417</v>
      </c>
      <c r="F7" s="10">
        <f>Assumptions!B7</f>
        <v>0.4339577981683417</v>
      </c>
    </row>
    <row r="8" spans="1:6" x14ac:dyDescent="0.25">
      <c r="A8" t="s">
        <v>44</v>
      </c>
      <c r="B8" s="18">
        <f>B6*B7</f>
        <v>2156407195.233391</v>
      </c>
      <c r="C8" s="18">
        <f>C6*C7</f>
        <v>2366295501.436471</v>
      </c>
      <c r="D8" s="18">
        <f>D6*D7</f>
        <v>2596612742.0162187</v>
      </c>
      <c r="E8" s="18">
        <f>E6*E7</f>
        <v>2849347314.3603506</v>
      </c>
      <c r="F8" s="18">
        <f>F6*F7</f>
        <v>3126681151.3635526</v>
      </c>
    </row>
    <row r="9" spans="1:6" x14ac:dyDescent="0.25">
      <c r="A9" t="s">
        <v>45</v>
      </c>
      <c r="B9" s="18">
        <f>B8*(1-Assumptions!B8)</f>
        <v>1703561684.2343788</v>
      </c>
      <c r="C9" s="18">
        <f>C8*(1-Assumptions!B8)</f>
        <v>1869373446.134812</v>
      </c>
      <c r="D9" s="18">
        <f>D8*(1-Assumptions!B8)</f>
        <v>2051324066.192813</v>
      </c>
      <c r="E9" s="18">
        <f>E8*(1-Assumptions!B8)</f>
        <v>2250984378.344677</v>
      </c>
      <c r="F9" s="18">
        <f>F8*(1-Assumptions!B8)</f>
        <v>2470078109.5772066</v>
      </c>
    </row>
    <row r="10" spans="1:6" x14ac:dyDescent="0.25">
      <c r="A10" t="s">
        <v>46</v>
      </c>
      <c r="B10" s="18">
        <f>B6*Assumptions!B9</f>
        <v>445734939.63300496</v>
      </c>
      <c r="C10" s="18">
        <f>C6*Assumptions!B9</f>
        <v>489119394.8981795</v>
      </c>
      <c r="D10" s="18">
        <f>D6*Assumptions!B9</f>
        <v>536726563.6894815</v>
      </c>
      <c r="E10" s="18">
        <f>E6*Assumptions!B9</f>
        <v>588967452.8851755</v>
      </c>
      <c r="F10" s="18">
        <f>F6*Assumptions!B9</f>
        <v>646293073.6529325</v>
      </c>
    </row>
    <row r="11" spans="1:6" x14ac:dyDescent="0.25">
      <c r="A11" t="s">
        <v>47</v>
      </c>
      <c r="B11" s="18">
        <f>-B6*Assumptions!B10</f>
        <v>-215570563.7456207</v>
      </c>
      <c r="C11" s="18">
        <f>-C6*Assumptions!B10</f>
        <v>-236552565.93510714</v>
      </c>
      <c r="D11" s="18">
        <f>-D6*Assumptions!B10</f>
        <v>-259576796.93464172</v>
      </c>
      <c r="E11" s="18">
        <f>-E6*Assumptions!B10</f>
        <v>-284842031.793189</v>
      </c>
      <c r="F11" s="18">
        <f>-F6*Assumptions!B10</f>
        <v>-312566392.81399596</v>
      </c>
    </row>
    <row r="12" spans="1:6" x14ac:dyDescent="0.25">
      <c r="A12" t="s">
        <v>48</v>
      </c>
      <c r="B12" s="18">
        <f>-(B6-Assumptions!B29)*Assumptions!B11</f>
        <v>440760371.0356178</v>
      </c>
      <c r="C12" s="18">
        <f>-(C6-B6)*Assumptions!B11</f>
        <v>483660639.5575352</v>
      </c>
      <c r="D12" s="18">
        <f>-(D6-C6)*Assumptions!B11</f>
        <v>530736494.5436535</v>
      </c>
      <c r="E12" s="18">
        <f>-(E6-D6)*Assumptions!B11</f>
        <v>582394355.8817911</v>
      </c>
      <c r="F12" s="18">
        <f>-(F6-E6)*Assumptions!B11</f>
        <v>639080201.2863426</v>
      </c>
    </row>
    <row r="13" spans="1:6" x14ac:dyDescent="0.25">
      <c r="A13" s="19" t="s">
        <v>49</v>
      </c>
      <c r="B13" s="20">
        <f>B9+B10+B11+B12</f>
        <v>2374486431.157381</v>
      </c>
      <c r="C13" s="20">
        <f>C9+C10+C11+C12</f>
        <v>2605600914.6554193</v>
      </c>
      <c r="D13" s="20">
        <f>D9+D10+D11+D12</f>
        <v>2859210327.4913063</v>
      </c>
      <c r="E13" s="20">
        <f>E9+E10+E11+E12</f>
        <v>3137504155.3184547</v>
      </c>
      <c r="F13" s="20">
        <f>F9+F10+F11+F12</f>
        <v>3442884991.702486</v>
      </c>
    </row>
    <row r="14" spans="1:6" x14ac:dyDescent="0.25">
      <c r="A14" t="s">
        <v>50</v>
      </c>
      <c r="B14" s="21">
        <f>1/(1+Assumptions!$B$26)^(1-0.5*Assumptions!$B$32)</f>
        <v>0.9607130614643643</v>
      </c>
      <c r="C14" s="21">
        <f>1/(1+Assumptions!$B$26)^(2-0.5*Assumptions!$B$32)</f>
        <v>0.886708937054393</v>
      </c>
      <c r="D14" s="21">
        <f>1/(1+Assumptions!$B$26)^(3-0.5*Assumptions!$B$32)</f>
        <v>0.8184053809507783</v>
      </c>
      <c r="E14" s="21">
        <f>1/(1+Assumptions!$B$26)^(4-0.5*Assumptions!$B$32)</f>
        <v>0.7553632760195153</v>
      </c>
      <c r="F14" s="21">
        <f>1/(1+Assumptions!$B$26)^(5-0.5*Assumptions!$B$32)</f>
        <v>0.6971773305010207</v>
      </c>
    </row>
    <row r="15" spans="1:6" x14ac:dyDescent="0.25">
      <c r="A15" s="19" t="s">
        <v>51</v>
      </c>
      <c r="B15" s="20">
        <f>B13*B14</f>
        <v>2281200128.6828003</v>
      </c>
      <c r="C15" s="20">
        <f>C13*C14</f>
        <v>2310409617.422061</v>
      </c>
      <c r="D15" s="20">
        <f>D13*D14</f>
        <v>2339993117.2889223</v>
      </c>
      <c r="E15" s="20">
        <f>E13*E14</f>
        <v>2369955417.28619</v>
      </c>
      <c r="F15" s="20">
        <f>F13*F14</f>
        <v>2400301367.737168</v>
      </c>
    </row>
    <row r="17" spans="1:2" x14ac:dyDescent="0.25">
      <c r="A17" s="22" t="s">
        <v>52</v>
      </c>
      <c r="B17" s="23">
        <f>SUM(B15:F15)</f>
        <v>11701859648.417141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3442884991.702486</v>
      </c>
    </row>
    <row r="5" spans="1:2" x14ac:dyDescent="0.25">
      <c r="A5" t="s">
        <v>56</v>
      </c>
      <c r="B5" s="18">
        <f>IF(Assumptions!$B$33=0,B4,B4-Forecast!F11-Forecast!F10-Forecast!F12)</f>
        <v>2816579368.770339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0.20485611203433762</v>
      </c>
    </row>
    <row r="7" spans="1:2" x14ac:dyDescent="0.25">
      <c r="A7" t="s">
        <v>58</v>
      </c>
      <c r="B7" s="18">
        <f>-MAX(Forecast!F9,0)*B6</f>
        <v>-576993498.7224205</v>
      </c>
    </row>
    <row r="8" spans="1:2" x14ac:dyDescent="0.25">
      <c r="A8" t="s">
        <v>59</v>
      </c>
      <c r="B8" s="18">
        <f>IF(OR(Assumptions!$B$33=0,Assumptions!B12&lt;=0),B5,MAX(B5+B7,0))</f>
        <v>2239585870.0479183</v>
      </c>
    </row>
    <row r="9" spans="1:2" x14ac:dyDescent="0.25">
      <c r="A9" t="s">
        <v>60</v>
      </c>
      <c r="B9" s="18">
        <f>B8*(1+Assumptions!B12)/(Assumptions!B26-Assumptions!B12)</f>
        <v>39267913817.40744</v>
      </c>
    </row>
    <row r="10" spans="1:2" x14ac:dyDescent="0.25">
      <c r="A10" t="s">
        <v>61</v>
      </c>
      <c r="B10" s="18">
        <f>B9/(1+Assumptions!B26)^(5-0.5*Assumptions!B32)</f>
        <v>27376699329.564266</v>
      </c>
    </row>
    <row r="11" spans="1:2" x14ac:dyDescent="0.25">
      <c r="A11" t="s">
        <v>62</v>
      </c>
      <c r="B11" s="18">
        <f>Forecast!B17+B10</f>
        <v>39078558977.98141</v>
      </c>
    </row>
    <row r="12" spans="1:2" x14ac:dyDescent="0.25">
      <c r="A12" t="s">
        <v>63</v>
      </c>
      <c r="B12" s="18">
        <f>-Assumptions!B30</f>
        <v>-7593590000</v>
      </c>
    </row>
    <row r="13" spans="1:2" x14ac:dyDescent="0.25">
      <c r="A13" t="s">
        <v>64</v>
      </c>
      <c r="B13" s="18">
        <f>B11+B12</f>
        <v>31484968977.981407</v>
      </c>
    </row>
    <row r="14" spans="1:2" x14ac:dyDescent="0.25">
      <c r="A14" s="19" t="s">
        <v>65</v>
      </c>
      <c r="B14" s="24">
        <f>B13/Assumptions!B31</f>
        <v>443.08830783277614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3772974225.016485</v>
      </c>
    </row>
    <row r="18" spans="1:2" x14ac:dyDescent="0.25">
      <c r="A18" t="s">
        <v>60</v>
      </c>
      <c r="B18" s="18">
        <f>B17*Assumptions!B13</f>
        <v>54234609909.85414</v>
      </c>
    </row>
    <row r="19" spans="1:2" x14ac:dyDescent="0.25">
      <c r="A19" t="s">
        <v>61</v>
      </c>
      <c r="B19" s="18">
        <f>B18/(1+Assumptions!B26)^(5-0.5*Assumptions!B32)</f>
        <v>37811140557.71632</v>
      </c>
    </row>
    <row r="20" spans="1:2" x14ac:dyDescent="0.25">
      <c r="A20" t="s">
        <v>62</v>
      </c>
      <c r="B20" s="18">
        <f>Forecast!B17+B19</f>
        <v>49513000206.13345</v>
      </c>
    </row>
    <row r="21" spans="1:2" x14ac:dyDescent="0.25">
      <c r="A21" t="s">
        <v>63</v>
      </c>
      <c r="B21" s="18">
        <f>-Assumptions!B30</f>
        <v>-7593590000</v>
      </c>
    </row>
    <row r="22" spans="1:2" x14ac:dyDescent="0.25">
      <c r="A22" t="s">
        <v>64</v>
      </c>
      <c r="B22" s="18">
        <f>B20+B21</f>
        <v>41919410206.13345</v>
      </c>
    </row>
    <row r="23" spans="1:2" x14ac:dyDescent="0.25">
      <c r="A23" s="19" t="s">
        <v>65</v>
      </c>
      <c r="B23" s="25">
        <f>B22/Assumptions!B31</f>
        <v>589.9323117190669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397.76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443.08830783277614</v>
      </c>
    </row>
    <row r="29" spans="1:2" x14ac:dyDescent="0.25">
      <c r="A29" s="19" t="s">
        <v>73</v>
      </c>
      <c r="B29" s="12">
        <f>B28/B26-1</f>
        <v>0.11395893964394643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0.063459</v>
      </c>
      <c r="B5" s="31">
        <v>617.886695466296</v>
      </c>
      <c r="C5" s="31">
        <v>655.5383441794137</v>
      </c>
      <c r="D5" s="31">
        <v>702.6599228170564</v>
      </c>
      <c r="E5" s="31">
        <v>763.4968944494866</v>
      </c>
      <c r="F5" s="31">
        <v>845.2782866223592</v>
      </c>
    </row>
    <row r="6" spans="1:6" x14ac:dyDescent="0.25">
      <c r="A6" s="30">
        <v>0.073459</v>
      </c>
      <c r="B6" s="31">
        <v>500.4966809007281</v>
      </c>
      <c r="C6" s="31">
        <v>521.3743754830331</v>
      </c>
      <c r="D6" s="31">
        <v>546.3167905340779</v>
      </c>
      <c r="E6" s="31">
        <v>576.726876122459</v>
      </c>
      <c r="F6" s="31">
        <v>614.7371645048664</v>
      </c>
    </row>
    <row r="7" spans="1:6" x14ac:dyDescent="0.25">
      <c r="A7" s="30">
        <v>0.083459</v>
      </c>
      <c r="B7" s="31">
        <v>417.17662986087305</v>
      </c>
      <c r="C7" s="31">
        <v>429.20213545390635</v>
      </c>
      <c r="D7" s="32">
        <v>443.0910467029621</v>
      </c>
      <c r="E7" s="31">
        <v>459.36621448142665</v>
      </c>
      <c r="F7" s="31">
        <v>478.7662806915495</v>
      </c>
    </row>
    <row r="8" spans="1:6" x14ac:dyDescent="0.25">
      <c r="A8" s="30">
        <v>0.093459</v>
      </c>
      <c r="B8" s="31">
        <v>354.9117122332662</v>
      </c>
      <c r="C8" s="31">
        <v>361.888161548058</v>
      </c>
      <c r="D8" s="31">
        <v>369.72499182834446</v>
      </c>
      <c r="E8" s="31">
        <v>378.62557398262476</v>
      </c>
      <c r="F8" s="31">
        <v>388.8628561986868</v>
      </c>
    </row>
    <row r="9" spans="1:6" x14ac:dyDescent="0.25">
      <c r="A9" s="30">
        <v>0.103459</v>
      </c>
      <c r="B9" s="31">
        <v>306.57146060932666</v>
      </c>
      <c r="C9" s="31">
        <v>310.50971238662765</v>
      </c>
      <c r="D9" s="31">
        <v>314.81700916524943</v>
      </c>
      <c r="E9" s="31">
        <v>319.5687082876527</v>
      </c>
      <c r="F9" s="31">
        <v>324.8621824171355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4528403000</v>
      </c>
      <c r="C5" s="18">
        <v>3974589000</v>
      </c>
      <c r="D5" s="18">
        <v>3757719000</v>
      </c>
      <c r="E5" s="18">
        <v>3427129000</v>
      </c>
      <c r="F5" s="8" t="s">
        <v>84</v>
      </c>
    </row>
    <row r="6" spans="1:6" x14ac:dyDescent="0.25">
      <c r="A6" t="s">
        <v>44</v>
      </c>
      <c r="B6" s="18">
        <v>1951847000</v>
      </c>
      <c r="C6" s="18">
        <v>1755847000</v>
      </c>
      <c r="D6" s="18">
        <v>1656873000</v>
      </c>
      <c r="E6" s="18">
        <v>1446641000</v>
      </c>
      <c r="F6" s="8" t="s">
        <v>85</v>
      </c>
    </row>
    <row r="7" spans="1:6" x14ac:dyDescent="0.25">
      <c r="A7" t="s">
        <v>86</v>
      </c>
      <c r="B7" s="18">
        <v>393303000</v>
      </c>
      <c r="C7" s="18">
        <v>351088000</v>
      </c>
      <c r="D7" s="18">
        <v>336604000</v>
      </c>
      <c r="E7" s="18">
        <v>322282000</v>
      </c>
      <c r="F7" s="8" t="s">
        <v>87</v>
      </c>
    </row>
    <row r="8" spans="1:6" x14ac:dyDescent="0.25">
      <c r="A8" t="s">
        <v>88</v>
      </c>
      <c r="B8" s="18">
        <v>200756000</v>
      </c>
      <c r="C8" s="18">
        <v>175176000</v>
      </c>
      <c r="D8" s="18">
        <v>153822000</v>
      </c>
      <c r="E8" s="18">
        <v>151428000</v>
      </c>
      <c r="F8" s="8" t="s">
        <v>89</v>
      </c>
    </row>
    <row r="9" spans="1:6" x14ac:dyDescent="0.25">
      <c r="A9" t="s">
        <v>90</v>
      </c>
      <c r="B9" s="18">
        <v>162421000</v>
      </c>
      <c r="C9" s="18">
        <v>-447854000</v>
      </c>
      <c r="D9" s="18">
        <v>-593904000</v>
      </c>
      <c r="E9" s="18">
        <v>752496000</v>
      </c>
      <c r="F9" s="8" t="s">
        <v>91</v>
      </c>
    </row>
    <row r="10" spans="1:6" x14ac:dyDescent="0.25">
      <c r="A10" t="s">
        <v>92</v>
      </c>
      <c r="B10" s="18">
        <v>10001687000</v>
      </c>
      <c r="C10" s="18">
        <v>7996080000</v>
      </c>
      <c r="D10" s="18">
        <v>6722905000</v>
      </c>
      <c r="E10" s="18">
        <v>7036894000</v>
      </c>
      <c r="F10" s="8" t="s">
        <v>93</v>
      </c>
    </row>
    <row r="11" spans="1:6" x14ac:dyDescent="0.25">
      <c r="A11" t="s">
        <v>94</v>
      </c>
      <c r="B11" s="18">
        <v>2408097000</v>
      </c>
      <c r="C11" s="18">
        <v>1553642000</v>
      </c>
      <c r="D11" s="18">
        <v>1389648000</v>
      </c>
      <c r="E11" s="18">
        <v>1435163000</v>
      </c>
      <c r="F11" s="8" t="s">
        <v>95</v>
      </c>
    </row>
    <row r="12" spans="1:6" x14ac:dyDescent="0.25">
      <c r="A12" t="s">
        <v>32</v>
      </c>
      <c r="B12" s="34">
        <v>71058000</v>
      </c>
      <c r="C12" s="34">
        <v>71848000</v>
      </c>
      <c r="D12" s="34">
        <v>74387000</v>
      </c>
      <c r="E12" s="34">
        <v>76862000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2026-09-19T00:07:18Z</dcterms:modified>
</cp:coreProperties>
</file>