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<sst xmlns="http://schemas.openxmlformats.org/spreadsheetml/2006/main" count="112" uniqueCount="100">
  <si>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Compass Group PLC (CPG.L)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</si>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</sst>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0.1737612434589726</v>
      </c>
    </row>
    <row r="7" spans="1:2" x14ac:dyDescent="0.25">
      <c r="A7" t="s">
        <v>5</v>
      </c>
      <c r="B7" s="6">
        <v>0.06787567674097161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0.018526912701345422</v>
      </c>
    </row>
    <row r="10" spans="1:2" x14ac:dyDescent="0.25">
      <c r="A10" t="s">
        <v>8</v>
      </c>
      <c r="B10" s="6">
        <v>0.019370505671847484</v>
      </c>
    </row>
    <row r="11" spans="1:2" x14ac:dyDescent="0.25">
      <c r="A11" t="s">
        <v>9</v>
      </c>
      <c r="B11" s="6">
        <v>0.00983284169124877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13.835395503255365</v>
      </c>
    </row>
    <row r="14" spans="1:3" x14ac:dyDescent="0.25">
      <c r="A14" t="s">
        <v>12</v>
      </c>
      <c r="B14" s="6">
        <v>0.18727535358383543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0.76483</v>
      </c>
      <c r="C19" s="8" t="s">
        <v>19</v>
      </c>
    </row>
    <row r="20" spans="1:2" x14ac:dyDescent="0.25">
      <c r="A20" t="s">
        <v>20</v>
      </c>
      <c r="B20" s="10">
        <f>B17+B19*B18</f>
        <v>0.08706565</v>
      </c>
    </row>
    <row r="21" spans="1:3" x14ac:dyDescent="0.25">
      <c r="A21" t="s">
        <v>21</v>
      </c>
      <c r="B21" s="6">
        <v>0.058591025342943505</v>
      </c>
      <c r="C21" s="8" t="s">
        <v>22</v>
      </c>
    </row>
    <row r="22" spans="1:2" x14ac:dyDescent="0.25">
      <c r="A22" t="s">
        <v>23</v>
      </c>
      <c r="B22" s="11">
        <v>50958385152</v>
      </c>
    </row>
    <row r="23" spans="1:2" x14ac:dyDescent="0.25">
      <c r="A23" t="s">
        <v>24</v>
      </c>
      <c r="B23" s="11">
        <v>6992000000</v>
      </c>
    </row>
    <row r="24" spans="1:2" x14ac:dyDescent="0.25">
      <c r="A24" t="s">
        <v>25</v>
      </c>
      <c r="B24" s="10">
        <f>B22/(B22+B23)</f>
        <v>0.8793450642017228</v>
      </c>
    </row>
    <row r="25" spans="1:2" x14ac:dyDescent="0.25">
      <c r="A25" t="s">
        <v>26</v>
      </c>
      <c r="B25" s="10">
        <f>1-B24</f>
        <v>0.12065493579827724</v>
      </c>
    </row>
    <row r="26" spans="1:2" x14ac:dyDescent="0.25">
      <c r="A26" t="s">
        <v>27</v>
      </c>
      <c r="B26" s="12">
        <f>B24*B20+B25*B21*(1-B8)</f>
        <v>0.08186272188984578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46070000000</v>
      </c>
      <c r="C29" s="8" t="s">
        <v>30</v>
      </c>
    </row>
    <row r="30" spans="1:2" x14ac:dyDescent="0.25">
      <c r="A30" t="s">
        <v>31</v>
      </c>
      <c r="B30" s="11">
        <v>6417000000</v>
      </c>
    </row>
    <row r="31" spans="1:2" x14ac:dyDescent="0.25">
      <c r="A31" t="s">
        <v>32</v>
      </c>
      <c r="B31" s="13">
        <v>1699000000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0.1737612434589726</v>
      </c>
      <c r="C5" s="10">
        <f>Assumptions!B6</f>
        <v>0.1737612434589726</v>
      </c>
      <c r="D5" s="10">
        <f>Assumptions!B6</f>
        <v>0.1737612434589726</v>
      </c>
      <c r="E5" s="10">
        <f>Assumptions!B6</f>
        <v>0.1737612434589726</v>
      </c>
      <c r="F5" s="10">
        <f>Assumptions!B6</f>
        <v>0.1737612434589726</v>
      </c>
    </row>
    <row r="6" spans="1:6" x14ac:dyDescent="0.25">
      <c r="A6" t="s">
        <v>43</v>
      </c>
      <c r="B6" s="18">
        <f>Assumptions!B29*(1+B5)</f>
        <v>54075180486.15487</v>
      </c>
      <c r="C6" s="18">
        <f>B6*(1+C5)</f>
        <v>63471351087.69751</v>
      </c>
      <c r="D6" s="18">
        <f>C6*(1+D5)</f>
        <v>74500211976.71684</v>
      </c>
      <c r="E6" s="18">
        <f>D6*(1+E5)</f>
        <v>87445461447.7482</v>
      </c>
      <c r="F6" s="18">
        <f>E6*(1+F5)</f>
        <v>102640093563.75258</v>
      </c>
    </row>
    <row r="7" spans="1:6" x14ac:dyDescent="0.25">
      <c r="A7" t="s">
        <v>5</v>
      </c>
      <c r="B7" s="10">
        <f>Assumptions!B7</f>
        <v>0.06787567674097161</v>
      </c>
      <c r="C7" s="10">
        <f>Assumptions!B7</f>
        <v>0.06787567674097161</v>
      </c>
      <c r="D7" s="10">
        <f>Assumptions!B7</f>
        <v>0.06787567674097161</v>
      </c>
      <c r="E7" s="10">
        <f>Assumptions!B7</f>
        <v>0.06787567674097161</v>
      </c>
      <c r="F7" s="10">
        <f>Assumptions!B7</f>
        <v>0.06787567674097161</v>
      </c>
    </row>
    <row r="8" spans="1:6" x14ac:dyDescent="0.25">
      <c r="A8" t="s">
        <v>44</v>
      </c>
      <c r="B8" s="18">
        <f>B6*B7</f>
        <v>3670389470.387944</v>
      </c>
      <c r="C8" s="18">
        <f>C6*C7</f>
        <v>4308160908.741273</v>
      </c>
      <c r="D8" s="18">
        <f>D6*D7</f>
        <v>5056752305.265494</v>
      </c>
      <c r="E8" s="18">
        <f>E6*E7</f>
        <v>5935419873.692452</v>
      </c>
      <c r="F8" s="18">
        <f>F6*F7</f>
        <v>6966765811.396351</v>
      </c>
    </row>
    <row r="9" spans="1:6" x14ac:dyDescent="0.25">
      <c r="A9" t="s">
        <v>45</v>
      </c>
      <c r="B9" s="18">
        <f>B8*(1-Assumptions!B8)</f>
        <v>2752792102.7909584</v>
      </c>
      <c r="C9" s="18">
        <f>C8*(1-Assumptions!B8)</f>
        <v>3231120681.555955</v>
      </c>
      <c r="D9" s="18">
        <f>D8*(1-Assumptions!B8)</f>
        <v>3792564228.9491205</v>
      </c>
      <c r="E9" s="18">
        <f>E8*(1-Assumptions!B8)</f>
        <v>4451564905.26934</v>
      </c>
      <c r="F9" s="18">
        <f>F8*(1-Assumptions!B8)</f>
        <v>5225074358.547263</v>
      </c>
    </row>
    <row r="10" spans="1:6" x14ac:dyDescent="0.25">
      <c r="A10" t="s">
        <v>46</v>
      </c>
      <c r="B10" s="18">
        <f>B6*Assumptions!B9</f>
        <v>1001846148.1764888</v>
      </c>
      <c r="C10" s="18">
        <f>C6*Assumptions!B9</f>
        <v>1175928180.6382177</v>
      </c>
      <c r="D10" s="18">
        <f>D6*Assumptions!B9</f>
        <v>1380258923.5243616</v>
      </c>
      <c r="E10" s="18">
        <f>E6*Assumptions!B9</f>
        <v>1620094430.3712976</v>
      </c>
      <c r="F10" s="18">
        <f>F6*Assumptions!B9</f>
        <v>1901604053.1135702</v>
      </c>
    </row>
    <row r="11" spans="1:6" x14ac:dyDescent="0.25">
      <c r="A11" t="s">
        <v>47</v>
      </c>
      <c r="B11" s="18">
        <f>-B6*Assumptions!B10</f>
        <v>-1047463590.3132392</v>
      </c>
      <c r="C11" s="18">
        <f>-C6*Assumptions!B10</f>
        <v>-1229472166.2440677</v>
      </c>
      <c r="D11" s="18">
        <f>-D6*Assumptions!B10</f>
        <v>-1443106778.6488335</v>
      </c>
      <c r="E11" s="18">
        <f>-E6*Assumptions!B10</f>
        <v>-1693862806.950927</v>
      </c>
      <c r="F11" s="18">
        <f>-F6*Assumptions!B10</f>
        <v>-1988190514.5356257</v>
      </c>
    </row>
    <row r="12" spans="1:6" x14ac:dyDescent="0.25">
      <c r="A12" t="s">
        <v>48</v>
      </c>
      <c r="B12" s="18">
        <f>-(B6-Assumptions!B29)*Assumptions!B11</f>
        <v>-78713672.4302347</v>
      </c>
      <c r="C12" s="18">
        <f>-(C6-B6)*Assumptions!B11</f>
        <v>-92391058.02893451</v>
      </c>
      <c r="D12" s="18">
        <f>-(D6-C6)*Assumptions!B11</f>
        <v>-108445043.15653227</v>
      </c>
      <c r="E12" s="18">
        <f>-(E6-D6)*Assumptions!B11</f>
        <v>-127288588.70237322</v>
      </c>
      <c r="F12" s="18">
        <f>-(F6-E6)*Assumptions!B11</f>
        <v>-149406412.15343538</v>
      </c>
    </row>
    <row r="13" spans="1:6" x14ac:dyDescent="0.25">
      <c r="A13" s="19" t="s">
        <v>49</v>
      </c>
      <c r="B13" s="20">
        <f>B9+B10+B11+B12</f>
        <v>2628460988.2239733</v>
      </c>
      <c r="C13" s="20">
        <f>C9+C10+C11+C12</f>
        <v>3085185637.9211707</v>
      </c>
      <c r="D13" s="20">
        <f>D9+D10+D11+D12</f>
        <v>3621271330.6681166</v>
      </c>
      <c r="E13" s="20">
        <f>E9+E10+E11+E12</f>
        <v>4250507939.9873376</v>
      </c>
      <c r="F13" s="20">
        <f>F9+F10+F11+F12</f>
        <v>4989081484.971772</v>
      </c>
    </row>
    <row r="14" spans="1:6" x14ac:dyDescent="0.25">
      <c r="A14" t="s">
        <v>50</v>
      </c>
      <c r="B14" s="21">
        <f>1/(1+Assumptions!$B$26)^(1-0.5*Assumptions!$B$32)</f>
        <v>0.9614217034068367</v>
      </c>
      <c r="C14" s="21">
        <f>1/(1+Assumptions!$B$26)^(2-0.5*Assumptions!$B$32)</f>
        <v>0.8886725496256889</v>
      </c>
      <c r="D14" s="21">
        <f>1/(1+Assumptions!$B$26)^(3-0.5*Assumptions!$B$32)</f>
        <v>0.8214282012354731</v>
      </c>
      <c r="E14" s="21">
        <f>1/(1+Assumptions!$B$26)^(4-0.5*Assumptions!$B$32)</f>
        <v>0.7592721189251866</v>
      </c>
      <c r="F14" s="21">
        <f>1/(1+Assumptions!$B$26)^(5-0.5*Assumptions!$B$32)</f>
        <v>0.7018192822087967</v>
      </c>
    </row>
    <row r="15" spans="1:6" x14ac:dyDescent="0.25">
      <c r="A15" s="19" t="s">
        <v>51</v>
      </c>
      <c r="B15" s="20">
        <f>B13*B14</f>
        <v>2527059440.6367097</v>
      </c>
      <c r="C15" s="20">
        <f>C13*C14</f>
        <v>2741719786.9199643</v>
      </c>
      <c r="D15" s="20">
        <f>D13*D14</f>
        <v>2974614395.336299</v>
      </c>
      <c r="E15" s="20">
        <f>E13*E14</f>
        <v>3227292170.1025157</v>
      </c>
      <c r="F15" s="20">
        <f>F13*F14</f>
        <v>3501433586.664087</v>
      </c>
    </row>
    <row r="17" spans="1:2" x14ac:dyDescent="0.25">
      <c r="A17" s="22" t="s">
        <v>52</v>
      </c>
      <c r="B17" s="23">
        <f>SUM(B15:F15)</f>
        <v>14972119379.659576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4989081484.971772</v>
      </c>
    </row>
    <row r="5" spans="1:2" x14ac:dyDescent="0.25">
      <c r="A5" t="s">
        <v>56</v>
      </c>
      <c r="B5" s="18">
        <f>IF(Assumptions!$B$33=0,B4,B4-Forecast!F11-Forecast!F10-Forecast!F12)</f>
        <v>5513714324.642242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0.13349327352255425</v>
      </c>
    </row>
    <row r="7" spans="1:2" x14ac:dyDescent="0.25">
      <c r="A7" t="s">
        <v>58</v>
      </c>
      <c r="B7" s="18">
        <f>-MAX(Forecast!F9,0)*B6</f>
        <v>-736043774.4646924</v>
      </c>
    </row>
    <row r="8" spans="1:2" x14ac:dyDescent="0.25">
      <c r="A8" t="s">
        <v>59</v>
      </c>
      <c r="B8" s="18">
        <f>IF(OR(Assumptions!$B$33=0,Assumptions!B12&lt;=0),B5,MAX(B5+B7,0))</f>
        <v>4777670550.17755</v>
      </c>
    </row>
    <row r="9" spans="1:2" x14ac:dyDescent="0.25">
      <c r="A9" t="s">
        <v>60</v>
      </c>
      <c r="B9" s="18">
        <f>B8*(1+Assumptions!B12)/(Assumptions!B26-Assumptions!B12)</f>
        <v>86121665498.50804</v>
      </c>
    </row>
    <row r="10" spans="1:2" x14ac:dyDescent="0.25">
      <c r="A10" t="s">
        <v>61</v>
      </c>
      <c r="B10" s="18">
        <f>B9/(1+Assumptions!B26)^(5-0.5*Assumptions!B32)</f>
        <v>60441845462.78901</v>
      </c>
    </row>
    <row r="11" spans="1:2" x14ac:dyDescent="0.25">
      <c r="A11" t="s">
        <v>62</v>
      </c>
      <c r="B11" s="18">
        <f>Forecast!B17+B10</f>
        <v>75413964842.44858</v>
      </c>
    </row>
    <row r="12" spans="1:2" x14ac:dyDescent="0.25">
      <c r="A12" t="s">
        <v>63</v>
      </c>
      <c r="B12" s="18">
        <f>-Assumptions!B30</f>
        <v>-6417000000</v>
      </c>
    </row>
    <row r="13" spans="1:2" x14ac:dyDescent="0.25">
      <c r="A13" t="s">
        <v>64</v>
      </c>
      <c r="B13" s="18">
        <f>B11+B12</f>
        <v>68996964842.44858</v>
      </c>
    </row>
    <row r="14" spans="1:2" x14ac:dyDescent="0.25">
      <c r="A14" s="19" t="s">
        <v>65</v>
      </c>
      <c r="B14" s="24">
        <f>B13/Assumptions!B31</f>
        <v>40.6103383416413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8868369864.509922</v>
      </c>
    </row>
    <row r="18" spans="1:2" x14ac:dyDescent="0.25">
      <c r="A18" t="s">
        <v>60</v>
      </c>
      <c r="B18" s="18">
        <f>B17*Assumptions!B13</f>
        <v>122697404544.64597</v>
      </c>
    </row>
    <row r="19" spans="1:2" x14ac:dyDescent="0.25">
      <c r="A19" t="s">
        <v>61</v>
      </c>
      <c r="B19" s="18">
        <f>B18/(1+Assumptions!B26)^(5-0.5*Assumptions!B32)</f>
        <v>86111404386.40579</v>
      </c>
    </row>
    <row r="20" spans="1:2" x14ac:dyDescent="0.25">
      <c r="A20" t="s">
        <v>62</v>
      </c>
      <c r="B20" s="18">
        <f>Forecast!B17+B19</f>
        <v>101083523766.06537</v>
      </c>
    </row>
    <row r="21" spans="1:2" x14ac:dyDescent="0.25">
      <c r="A21" t="s">
        <v>63</v>
      </c>
      <c r="B21" s="18">
        <f>-Assumptions!B30</f>
        <v>-6417000000</v>
      </c>
    </row>
    <row r="22" spans="1:2" x14ac:dyDescent="0.25">
      <c r="A22" t="s">
        <v>64</v>
      </c>
      <c r="B22" s="18">
        <f>B20+B21</f>
        <v>94666523766.06537</v>
      </c>
    </row>
    <row r="23" spans="1:2" x14ac:dyDescent="0.25">
      <c r="A23" s="19" t="s">
        <v>65</v>
      </c>
      <c r="B23" s="25">
        <f>B22/Assumptions!B31</f>
        <v>55.71896631316384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29.97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40.6103383416413</v>
      </c>
    </row>
    <row r="29" spans="1:2" x14ac:dyDescent="0.25">
      <c r="A29" s="19" t="s">
        <v>73</v>
      </c>
      <c r="B29" s="12">
        <f>B28/B26-1</f>
        <v>0.35503297769907594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0.061863</v>
      </c>
      <c r="B5" s="31">
        <v>54.84131669050447</v>
      </c>
      <c r="C5" s="31">
        <v>59.39677047165657</v>
      </c>
      <c r="D5" s="31">
        <v>65.17006291861563</v>
      </c>
      <c r="E5" s="31">
        <v>72.73451041675357</v>
      </c>
      <c r="F5" s="31">
        <v>83.09027399676998</v>
      </c>
    </row>
    <row r="6" spans="1:6" x14ac:dyDescent="0.25">
      <c r="A6" s="30">
        <v>0.071863</v>
      </c>
      <c r="B6" s="31">
        <v>44.25121756486384</v>
      </c>
      <c r="C6" s="31">
        <v>46.974229382348064</v>
      </c>
      <c r="D6" s="31">
        <v>50.26476958642733</v>
      </c>
      <c r="E6" s="31">
        <v>54.32619020153675</v>
      </c>
      <c r="F6" s="31">
        <v>59.47217177905445</v>
      </c>
    </row>
    <row r="7" spans="1:6" x14ac:dyDescent="0.25">
      <c r="A7" s="30">
        <v>0.081863</v>
      </c>
      <c r="B7" s="31">
        <v>36.84059762872586</v>
      </c>
      <c r="C7" s="31">
        <v>38.57793881345864</v>
      </c>
      <c r="D7" s="32">
        <v>40.61011716432736</v>
      </c>
      <c r="E7" s="31">
        <v>43.0224065276587</v>
      </c>
      <c r="F7" s="31">
        <v>45.9364735741084</v>
      </c>
    </row>
    <row r="8" spans="1:6" x14ac:dyDescent="0.25">
      <c r="A8" s="30">
        <v>0.091863</v>
      </c>
      <c r="B8" s="31">
        <v>31.368005406552598</v>
      </c>
      <c r="C8" s="31">
        <v>32.52670486898602</v>
      </c>
      <c r="D8" s="31">
        <v>33.84997324946154</v>
      </c>
      <c r="E8" s="31">
        <v>35.37771378207116</v>
      </c>
      <c r="F8" s="31">
        <v>37.16386456860354</v>
      </c>
    </row>
    <row r="9" spans="1:6" x14ac:dyDescent="0.25">
      <c r="A9" s="30">
        <v>0.101863</v>
      </c>
      <c r="B9" s="31">
        <v>27.16369609991577</v>
      </c>
      <c r="C9" s="31">
        <v>27.960818960620415</v>
      </c>
      <c r="D9" s="31">
        <v>28.85436346672642</v>
      </c>
      <c r="E9" s="31">
        <v>29.864455756594573</v>
      </c>
      <c r="F9" s="31">
        <v>31.017242080863213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46070000000</v>
      </c>
      <c r="C5" s="18">
        <v>42002000000</v>
      </c>
      <c r="D5" s="18">
        <v>37907000000</v>
      </c>
      <c r="E5" s="18">
        <v>28489112227.805695</v>
      </c>
      <c r="F5" s="8" t="s">
        <v>84</v>
      </c>
    </row>
    <row r="6" spans="1:6" x14ac:dyDescent="0.25">
      <c r="A6" t="s">
        <v>44</v>
      </c>
      <c r="B6" s="18">
        <v>3295000000</v>
      </c>
      <c r="C6" s="18">
        <v>2948000000</v>
      </c>
      <c r="D6" s="18">
        <v>2568000000</v>
      </c>
      <c r="E6" s="18">
        <v>1767727526.521496</v>
      </c>
      <c r="F6" s="8" t="s">
        <v>85</v>
      </c>
    </row>
    <row r="7" spans="1:6" x14ac:dyDescent="0.25">
      <c r="A7" t="s">
        <v>86</v>
      </c>
      <c r="B7" s="18">
        <v>852000000</v>
      </c>
      <c r="C7" s="18">
        <v>744000000</v>
      </c>
      <c r="D7" s="18">
        <v>670000000</v>
      </c>
      <c r="E7" s="18">
        <v>576214405.360134</v>
      </c>
      <c r="F7" s="8" t="s">
        <v>87</v>
      </c>
    </row>
    <row r="8" spans="1:6" x14ac:dyDescent="0.25">
      <c r="A8" t="s">
        <v>88</v>
      </c>
      <c r="B8" s="18">
        <v>892000000</v>
      </c>
      <c r="C8" s="18">
        <v>901000000</v>
      </c>
      <c r="D8" s="18">
        <v>708000000</v>
      </c>
      <c r="E8" s="18">
        <v>512562814.070352</v>
      </c>
      <c r="F8" s="8" t="s">
        <v>89</v>
      </c>
    </row>
    <row r="9" spans="1:6" x14ac:dyDescent="0.25">
      <c r="A9" t="s">
        <v>90</v>
      </c>
      <c r="B9" s="18">
        <v>40000000</v>
      </c>
      <c r="C9" s="18">
        <v>-186000000</v>
      </c>
      <c r="D9" s="18">
        <v>120000000</v>
      </c>
      <c r="E9" s="18">
        <v>177554438.860972</v>
      </c>
      <c r="F9" s="8" t="s">
        <v>91</v>
      </c>
    </row>
    <row r="10" spans="1:6" x14ac:dyDescent="0.25">
      <c r="A10" t="s">
        <v>92</v>
      </c>
      <c r="B10" s="18">
        <v>6992000000</v>
      </c>
      <c r="C10" s="18">
        <v>5911000000</v>
      </c>
      <c r="D10" s="18">
        <v>5267000000</v>
      </c>
      <c r="E10" s="18">
        <v>5444000000</v>
      </c>
      <c r="F10" s="8" t="s">
        <v>93</v>
      </c>
    </row>
    <row r="11" spans="1:6" x14ac:dyDescent="0.25">
      <c r="A11" t="s">
        <v>94</v>
      </c>
      <c r="B11" s="18">
        <v>575000000</v>
      </c>
      <c r="C11" s="18">
        <v>623000000</v>
      </c>
      <c r="D11" s="18">
        <v>1029000000</v>
      </c>
      <c r="E11" s="18">
        <v>2214000000</v>
      </c>
      <c r="F11" s="8" t="s">
        <v>95</v>
      </c>
    </row>
    <row r="12" spans="1:6" x14ac:dyDescent="0.25">
      <c r="A12" t="s">
        <v>32</v>
      </c>
      <c r="B12" s="34">
        <v>1699000000</v>
      </c>
      <c r="C12" s="34">
        <v>1707000000</v>
      </c>
      <c r="D12" s="34">
        <v>1745000000</v>
      </c>
      <c r="E12" s="34">
        <v>1779000000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2026-09-19T00:08:17Z</dcterms:modified>
</cp:coreProperties>
</file>