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<sst xmlns="http://schemas.openxmlformats.org/spreadsheetml/2006/main" count="113" uniqueCount="101">
  <si>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Davide Campari-Milano N.V. (CPR.MI)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</si>
  <si>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</si>
  <si>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</si>
  <si>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</si>
  <si>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</si>
  <si>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</si>
  <si>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</si>
  <si>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</si>
  <si>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</si>
  <si>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</si>
  <si>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</si>
  <si>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</si>
  <si>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</si>
  <si>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</si>
  <si>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</si>
  <si>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</si>
  <si>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</si>
  <si>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</si>
  <si>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</si>
  <si>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</si>
  <si>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</si>
  <si>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</si>
  <si>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</si>
  <si>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</si>
  <si>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</si>
  <si>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</si>
  <si>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</si>
  <si>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</si>
  <si>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</si>
  <si>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</si>
  <si>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</si>
  <si>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</si>
  <si>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</si>
  <si>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</si>
  <si>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</si>
  <si>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</si>
  <si>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</si>
  <si>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</si>
  <si>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</si>
  <si>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</si>
  <si>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</si>
  <si>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</si>
  <si>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</si>
  <si>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</si>
  <si>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</si>
  <si>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</si>
  <si>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</si>
  <si>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</si>
  <si>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</si>
  <si>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</si>
  <si>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</si>
  <si>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</si>
  <si>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</si>
  <si>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</si>
  <si>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</si>
  <si>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</si>
  <si>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</si>
  <si>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</si>
  <si>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</si>
  <si>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</si>
  <si>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</si>
  <si>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</si>
  <si>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</si>
  <si>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</si>
  <si>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</si>
  <si>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</si>
  <si>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</si>
  <si>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</si>
  <si>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</si>
  <si>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</si>
  <si>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</si>
  <si>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</si>
  <si>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</si>
  <si>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</si>
  <si>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</si>
  <si>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</si>
  <si>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</si>
  <si>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</si>
  <si>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</si>
  <si>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</si>
  <si>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</si>
  <si>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</si>
  <si>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</si>
  <si>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</si>
  <si>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</si>
  <si>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</si>
  <si>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</si>
  <si>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</si>
  <si>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</si>
  <si>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</si>
  <si>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</si>
  <si>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</si>
  <si>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</si>
  <si>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</si>
  <si>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</si>
  <si>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</si>
  <si>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</si>
  <si>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</si>
  <si>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12.2% of revenue against depreciation of 4.0%.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</si>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</sst>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0.04190061965387759</v>
      </c>
    </row>
    <row r="7" spans="1:2" x14ac:dyDescent="0.25">
      <c r="A7" t="s">
        <v>5</v>
      </c>
      <c r="B7" s="6">
        <v>0.18879036392373755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0.040377597645303846</v>
      </c>
    </row>
    <row r="10" spans="1:2" x14ac:dyDescent="0.25">
      <c r="A10" t="s">
        <v>8</v>
      </c>
      <c r="B10" s="6">
        <v>0.12192903885647993</v>
      </c>
    </row>
    <row r="11" spans="1:2" x14ac:dyDescent="0.25">
      <c r="A11" t="s">
        <v>9</v>
      </c>
      <c r="B11" s="6">
        <v>-0.8247354497354498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11.880163303583322</v>
      </c>
    </row>
    <row r="14" spans="1:3" x14ac:dyDescent="0.25">
      <c r="A14" t="s">
        <v>12</v>
      </c>
      <c r="B14" s="6">
        <v>0.0800253022217814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0.6348499999999999</v>
      </c>
      <c r="C19" s="8" t="s">
        <v>19</v>
      </c>
    </row>
    <row r="20" spans="1:2" x14ac:dyDescent="0.25">
      <c r="A20" t="s">
        <v>20</v>
      </c>
      <c r="B20" s="10">
        <f>B17+B19*B18</f>
        <v>0.08326525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7073838592</v>
      </c>
    </row>
    <row r="23" spans="1:2" x14ac:dyDescent="0.25">
      <c r="A23" t="s">
        <v>24</v>
      </c>
      <c r="B23" s="11">
        <v>2561500000</v>
      </c>
    </row>
    <row r="24" spans="1:2" x14ac:dyDescent="0.25">
      <c r="A24" t="s">
        <v>25</v>
      </c>
      <c r="B24" s="10">
        <f>B22/(B22+B23)</f>
        <v>0.7341556837320948</v>
      </c>
    </row>
    <row r="25" spans="1:2" x14ac:dyDescent="0.25">
      <c r="A25" t="s">
        <v>26</v>
      </c>
      <c r="B25" s="10">
        <f>1-B24</f>
        <v>0.26584431626790517</v>
      </c>
    </row>
    <row r="26" spans="1:2" x14ac:dyDescent="0.25">
      <c r="A26" t="s">
        <v>27</v>
      </c>
      <c r="B26" s="12">
        <f>B24*B20+B25*B21*(1-B8)</f>
        <v>0.06950375250731282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3051100000</v>
      </c>
      <c r="C29" s="8" t="s">
        <v>30</v>
      </c>
    </row>
    <row r="30" spans="1:2" x14ac:dyDescent="0.25">
      <c r="A30" t="s">
        <v>31</v>
      </c>
      <c r="B30" s="11">
        <v>1844600000</v>
      </c>
    </row>
    <row r="31" spans="1:2" x14ac:dyDescent="0.25">
      <c r="A31" t="s">
        <v>32</v>
      </c>
      <c r="B31" s="13">
        <v>1198785346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0.04190061965387759</v>
      </c>
      <c r="C5" s="10">
        <f>Assumptions!B6</f>
        <v>0.04190061965387759</v>
      </c>
      <c r="D5" s="10">
        <f>Assumptions!B6</f>
        <v>0.04190061965387759</v>
      </c>
      <c r="E5" s="10">
        <f>Assumptions!B6</f>
        <v>0.04190061965387759</v>
      </c>
      <c r="F5" s="10">
        <f>Assumptions!B6</f>
        <v>0.04190061965387759</v>
      </c>
    </row>
    <row r="6" spans="1:6" x14ac:dyDescent="0.25">
      <c r="A6" t="s">
        <v>43</v>
      </c>
      <c r="B6" s="18">
        <f>Assumptions!B29*(1+B5)</f>
        <v>3178942980.625946</v>
      </c>
      <c r="C6" s="18">
        <f>B6*(1+C5)</f>
        <v>3312142661.3585176</v>
      </c>
      <c r="D6" s="18">
        <f>C6*(1+D5)</f>
        <v>3450923491.251483</v>
      </c>
      <c r="E6" s="18">
        <f>D6*(1+E5)</f>
        <v>3595519323.9130425</v>
      </c>
      <c r="F6" s="18">
        <f>E6*(1+F5)</f>
        <v>3746173811.56249</v>
      </c>
    </row>
    <row r="7" spans="1:6" x14ac:dyDescent="0.25">
      <c r="A7" t="s">
        <v>5</v>
      </c>
      <c r="B7" s="10">
        <f>Assumptions!B7</f>
        <v>0.18879036392373755</v>
      </c>
      <c r="C7" s="10">
        <f>Assumptions!B7</f>
        <v>0.18879036392373755</v>
      </c>
      <c r="D7" s="10">
        <f>Assumptions!B7</f>
        <v>0.18879036392373755</v>
      </c>
      <c r="E7" s="10">
        <f>Assumptions!B7</f>
        <v>0.18879036392373755</v>
      </c>
      <c r="F7" s="10">
        <f>Assumptions!B7</f>
        <v>0.18879036392373755</v>
      </c>
    </row>
    <row r="8" spans="1:6" x14ac:dyDescent="0.25">
      <c r="A8" t="s">
        <v>44</v>
      </c>
      <c r="B8" s="18">
        <f>B6*B7</f>
        <v>600153802.2051833</v>
      </c>
      <c r="C8" s="18">
        <f>C6*C7</f>
        <v>625300618.4052112</v>
      </c>
      <c r="D8" s="18">
        <f>D6*D7</f>
        <v>651501101.7863424</v>
      </c>
      <c r="E8" s="18">
        <f>E6*E7</f>
        <v>678799401.6563741</v>
      </c>
      <c r="F8" s="18">
        <f>F6*F7</f>
        <v>707241517.2064575</v>
      </c>
    </row>
    <row r="9" spans="1:6" x14ac:dyDescent="0.25">
      <c r="A9" t="s">
        <v>45</v>
      </c>
      <c r="B9" s="18">
        <f>B8*(1-Assumptions!B8)</f>
        <v>450115351.65388745</v>
      </c>
      <c r="C9" s="18">
        <f>C8*(1-Assumptions!B8)</f>
        <v>468975463.8039084</v>
      </c>
      <c r="D9" s="18">
        <f>D8*(1-Assumptions!B8)</f>
        <v>488625826.3397568</v>
      </c>
      <c r="E9" s="18">
        <f>E8*(1-Assumptions!B8)</f>
        <v>509099551.2422806</v>
      </c>
      <c r="F9" s="18">
        <f>F8*(1-Assumptions!B8)</f>
        <v>530431137.9048431</v>
      </c>
    </row>
    <row r="10" spans="1:6" x14ac:dyDescent="0.25">
      <c r="A10" t="s">
        <v>46</v>
      </c>
      <c r="B10" s="18">
        <f>B6*Assumptions!B9</f>
        <v>128358080.6090774</v>
      </c>
      <c r="C10" s="18">
        <f>C6*Assumptions!B9</f>
        <v>133736363.7241801</v>
      </c>
      <c r="D10" s="18">
        <f>D6*Assumptions!B9</f>
        <v>139340000.2344796</v>
      </c>
      <c r="E10" s="18">
        <f>E6*Assumptions!B9</f>
        <v>145178432.58687574</v>
      </c>
      <c r="F10" s="18">
        <f>F6*Assumptions!B9</f>
        <v>151261498.87264454</v>
      </c>
    </row>
    <row r="11" spans="1:6" x14ac:dyDescent="0.25">
      <c r="A11" t="s">
        <v>47</v>
      </c>
      <c r="B11" s="18">
        <f>-B6*Assumptions!B10</f>
        <v>-387605462.2072751</v>
      </c>
      <c r="C11" s="18">
        <f>-C6*Assumptions!B10</f>
        <v>-403846371.25498754</v>
      </c>
      <c r="D11" s="18">
        <f>-D6*Assumptions!B10</f>
        <v>-420767784.45554143</v>
      </c>
      <c r="E11" s="18">
        <f>-E6*Assumptions!B10</f>
        <v>-438398215.35461783</v>
      </c>
      <c r="F11" s="18">
        <f>-F6*Assumptions!B10</f>
        <v>-456767372.2331304</v>
      </c>
    </row>
    <row r="12" spans="1:6" x14ac:dyDescent="0.25">
      <c r="A12" t="s">
        <v>48</v>
      </c>
      <c r="B12" s="18">
        <f>-(B6-Assumptions!B29)*Assumptions!B11</f>
        <v>105436638.12206</v>
      </c>
      <c r="C12" s="18">
        <f>-(C6-B6)*Assumptions!B11</f>
        <v>109854498.59359576</v>
      </c>
      <c r="D12" s="18">
        <f>-(D6-C6)*Assumptions!B11</f>
        <v>114457470.1564337</v>
      </c>
      <c r="E12" s="18">
        <f>-(E6-D6)*Assumptions!B11</f>
        <v>119253309.08000317</v>
      </c>
      <c r="F12" s="18">
        <f>-(F6-E6)*Assumptions!B11</f>
        <v>124250096.62623079</v>
      </c>
    </row>
    <row r="13" spans="1:6" x14ac:dyDescent="0.25">
      <c r="A13" s="19" t="s">
        <v>49</v>
      </c>
      <c r="B13" s="20">
        <f>B9+B10+B11+B12</f>
        <v>296304608.17774975</v>
      </c>
      <c r="C13" s="20">
        <f>C9+C10+C11+C12</f>
        <v>308719954.8666968</v>
      </c>
      <c r="D13" s="20">
        <f>D9+D10+D11+D12</f>
        <v>321655512.27512866</v>
      </c>
      <c r="E13" s="20">
        <f>E9+E10+E11+E12</f>
        <v>335133077.5545417</v>
      </c>
      <c r="F13" s="20">
        <f>F9+F10+F11+F12</f>
        <v>349175361.170588</v>
      </c>
    </row>
    <row r="14" spans="1:6" x14ac:dyDescent="0.25">
      <c r="A14" t="s">
        <v>50</v>
      </c>
      <c r="B14" s="21">
        <f>1/(1+Assumptions!$B$26)^(1-0.5*Assumptions!$B$32)</f>
        <v>0.9669607448843682</v>
      </c>
      <c r="C14" s="21">
        <f>1/(1+Assumptions!$B$26)^(2-0.5*Assumptions!$B$32)</f>
        <v>0.9041209463898131</v>
      </c>
      <c r="D14" s="21">
        <f>1/(1+Assumptions!$B$26)^(3-0.5*Assumptions!$B$32)</f>
        <v>0.845364912717902</v>
      </c>
      <c r="E14" s="21">
        <f>1/(1+Assumptions!$B$26)^(4-0.5*Assumptions!$B$32)</f>
        <v>0.790427252579576</v>
      </c>
      <c r="F14" s="21">
        <f>1/(1+Assumptions!$B$26)^(5-0.5*Assumptions!$B$32)</f>
        <v>0.7390598216476771</v>
      </c>
    </row>
    <row r="15" spans="1:6" x14ac:dyDescent="0.25">
      <c r="A15" s="19" t="s">
        <v>51</v>
      </c>
      <c r="B15" s="20">
        <f>B13*B14</f>
        <v>286514924.6362278</v>
      </c>
      <c r="C15" s="20">
        <f>C13*C14</f>
        <v>279120177.7634983</v>
      </c>
      <c r="D15" s="20">
        <f>D13*D14</f>
        <v>271916284.0596962</v>
      </c>
      <c r="E15" s="20">
        <f>E13*E14</f>
        <v>264898317.73997438</v>
      </c>
      <c r="F15" s="20">
        <f>F13*F14</f>
        <v>258061480.15049803</v>
      </c>
    </row>
    <row r="17" spans="1:2" x14ac:dyDescent="0.25">
      <c r="A17" s="22" t="s">
        <v>52</v>
      </c>
      <c r="B17" s="23">
        <f>SUM(B15:F15)</f>
        <v>1360511184.3498945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349175361.170588</v>
      </c>
    </row>
    <row r="5" spans="1:2" x14ac:dyDescent="0.25">
      <c r="A5" t="s">
        <v>56</v>
      </c>
      <c r="B5" s="18">
        <f>IF(Assumptions!$B$33=0,B4,B4-Forecast!F11-Forecast!F10-Forecast!F12)</f>
        <v>544944829.9762136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0.3124011944461669</v>
      </c>
    </row>
    <row r="7" spans="1:2" x14ac:dyDescent="0.25">
      <c r="A7" t="s">
        <v>58</v>
      </c>
      <c r="B7" s="18">
        <f>-MAX(Forecast!F9,0)*B6</f>
        <v>-170241415.79183245</v>
      </c>
    </row>
    <row r="8" spans="1:2" x14ac:dyDescent="0.25">
      <c r="A8" t="s">
        <v>59</v>
      </c>
      <c r="B8" s="18">
        <f>IF(OR(Assumptions!$B$33=0,Assumptions!B12&lt;=0),B5,MAX(B5+B7,0))</f>
        <v>374703414.1843811</v>
      </c>
    </row>
    <row r="9" spans="1:2" x14ac:dyDescent="0.25">
      <c r="A9" t="s">
        <v>60</v>
      </c>
      <c r="B9" s="18">
        <f>B8*(1+Assumptions!B12)/(Assumptions!B26-Assumptions!B12)</f>
        <v>8630081238.113132</v>
      </c>
    </row>
    <row r="10" spans="1:2" x14ac:dyDescent="0.25">
      <c r="A10" t="s">
        <v>61</v>
      </c>
      <c r="B10" s="18">
        <f>B9/(1+Assumptions!B26)^(5-0.5*Assumptions!B32)</f>
        <v>6378146300.644856</v>
      </c>
    </row>
    <row r="11" spans="1:2" x14ac:dyDescent="0.25">
      <c r="A11" t="s">
        <v>62</v>
      </c>
      <c r="B11" s="18">
        <f>Forecast!B17+B10</f>
        <v>7738657484.994751</v>
      </c>
    </row>
    <row r="12" spans="1:2" x14ac:dyDescent="0.25">
      <c r="A12" t="s">
        <v>63</v>
      </c>
      <c r="B12" s="18">
        <f>-Assumptions!B30</f>
        <v>-1844600000</v>
      </c>
    </row>
    <row r="13" spans="1:2" x14ac:dyDescent="0.25">
      <c r="A13" t="s">
        <v>64</v>
      </c>
      <c r="B13" s="18">
        <f>B11+B12</f>
        <v>5894057484.994751</v>
      </c>
    </row>
    <row r="14" spans="1:2" x14ac:dyDescent="0.25">
      <c r="A14" s="19" t="s">
        <v>65</v>
      </c>
      <c r="B14" s="24">
        <f>B13/Assumptions!B31</f>
        <v>4.916691303127383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858503016.079102</v>
      </c>
    </row>
    <row r="18" spans="1:2" x14ac:dyDescent="0.25">
      <c r="A18" t="s">
        <v>60</v>
      </c>
      <c r="B18" s="18">
        <f>B17*Assumptions!B13</f>
        <v>10199156027.63855</v>
      </c>
    </row>
    <row r="19" spans="1:2" x14ac:dyDescent="0.25">
      <c r="A19" t="s">
        <v>61</v>
      </c>
      <c r="B19" s="18">
        <f>B18/(1+Assumptions!B26)^(5-0.5*Assumptions!B32)</f>
        <v>7537786434.743378</v>
      </c>
    </row>
    <row r="20" spans="1:2" x14ac:dyDescent="0.25">
      <c r="A20" t="s">
        <v>62</v>
      </c>
      <c r="B20" s="18">
        <f>Forecast!B17+B19</f>
        <v>8898297619.093273</v>
      </c>
    </row>
    <row r="21" spans="1:2" x14ac:dyDescent="0.25">
      <c r="A21" t="s">
        <v>63</v>
      </c>
      <c r="B21" s="18">
        <f>-Assumptions!B30</f>
        <v>-1844600000</v>
      </c>
    </row>
    <row r="22" spans="1:2" x14ac:dyDescent="0.25">
      <c r="A22" t="s">
        <v>64</v>
      </c>
      <c r="B22" s="18">
        <f>B20+B21</f>
        <v>7053697619.093273</v>
      </c>
    </row>
    <row r="23" spans="1:2" x14ac:dyDescent="0.25">
      <c r="A23" s="19" t="s">
        <v>65</v>
      </c>
      <c r="B23" s="25">
        <f>B22/Assumptions!B31</f>
        <v>5.884037240386214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5.898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4.916691303127383</v>
      </c>
    </row>
    <row r="29" spans="1:2" x14ac:dyDescent="0.25">
      <c r="A29" s="19" t="s">
        <v>73</v>
      </c>
      <c r="B29" s="12">
        <f>B28/B26-1</f>
        <v>-0.1663799079132955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0.049504</v>
      </c>
      <c r="B5" s="31">
        <v>8.392750485823727</v>
      </c>
      <c r="C5" s="31">
        <v>9.134657633769496</v>
      </c>
      <c r="D5" s="31">
        <v>10.170008745230806</v>
      </c>
      <c r="E5" s="31">
        <v>11.724483652689875</v>
      </c>
      <c r="F5" s="31">
        <v>14.334958868830531</v>
      </c>
    </row>
    <row r="6" spans="1:6" x14ac:dyDescent="0.25">
      <c r="A6" s="30">
        <v>0.059504</v>
      </c>
      <c r="B6" s="31">
        <v>6.117569171484895</v>
      </c>
      <c r="C6" s="31">
        <v>6.410273299393263</v>
      </c>
      <c r="D6" s="31">
        <v>6.781463038015891</v>
      </c>
      <c r="E6" s="31">
        <v>7.2710409144919455</v>
      </c>
      <c r="F6" s="31">
        <v>7.951477630249816</v>
      </c>
    </row>
    <row r="7" spans="1:6" x14ac:dyDescent="0.25">
      <c r="A7" s="30">
        <v>0.069504</v>
      </c>
      <c r="B7" s="31">
        <v>4.679919089403207</v>
      </c>
      <c r="C7" s="31">
        <v>4.788452021474964</v>
      </c>
      <c r="D7" s="32">
        <v>4.916655531813282</v>
      </c>
      <c r="E7" s="31">
        <v>5.07199870390334</v>
      </c>
      <c r="F7" s="31">
        <v>5.266280022740381</v>
      </c>
    </row>
    <row r="8" spans="1:6" x14ac:dyDescent="0.25">
      <c r="A8" s="30">
        <v>0.079504</v>
      </c>
      <c r="B8" s="31">
        <v>3.6901413400896868</v>
      </c>
      <c r="C8" s="31">
        <v>3.713222763869848</v>
      </c>
      <c r="D8" s="31">
        <v>3.7368456861888</v>
      </c>
      <c r="E8" s="31">
        <v>3.7611741842540853</v>
      </c>
      <c r="F8" s="31">
        <v>3.7864460712104684</v>
      </c>
    </row>
    <row r="9" spans="1:6" x14ac:dyDescent="0.25">
      <c r="A9" s="30">
        <v>0.089504</v>
      </c>
      <c r="B9" s="31">
        <v>3.0513732388707644</v>
      </c>
      <c r="C9" s="31">
        <v>3.0686399228358554</v>
      </c>
      <c r="D9" s="31">
        <v>3.0859066068009455</v>
      </c>
      <c r="E9" s="31">
        <v>3.103173290766037</v>
      </c>
      <c r="F9" s="31">
        <v>3.1204399747311267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3051100000</v>
      </c>
      <c r="C5" s="18">
        <v>3069800000</v>
      </c>
      <c r="D5" s="18">
        <v>2918600000</v>
      </c>
      <c r="E5" s="18">
        <v>2697600000</v>
      </c>
      <c r="F5" s="8" t="s">
        <v>84</v>
      </c>
    </row>
    <row r="6" spans="1:6" x14ac:dyDescent="0.25">
      <c r="A6" t="s">
        <v>44</v>
      </c>
      <c r="B6" s="18">
        <v>602400000</v>
      </c>
      <c r="C6" s="18">
        <v>449200000</v>
      </c>
      <c r="D6" s="18">
        <v>605100000</v>
      </c>
      <c r="E6" s="18">
        <v>550500000</v>
      </c>
      <c r="F6" s="8" t="s">
        <v>85</v>
      </c>
    </row>
    <row r="7" spans="1:6" x14ac:dyDescent="0.25">
      <c r="A7" t="s">
        <v>86</v>
      </c>
      <c r="B7" s="18">
        <v>148300000</v>
      </c>
      <c r="C7" s="18">
        <v>127700000</v>
      </c>
      <c r="D7" s="18">
        <v>110200000</v>
      </c>
      <c r="E7" s="18">
        <v>90500000</v>
      </c>
      <c r="F7" s="8" t="s">
        <v>87</v>
      </c>
    </row>
    <row r="8" spans="1:6" x14ac:dyDescent="0.25">
      <c r="A8" t="s">
        <v>88</v>
      </c>
      <c r="B8" s="18">
        <v>299300000</v>
      </c>
      <c r="C8" s="18">
        <v>460100000</v>
      </c>
      <c r="D8" s="18">
        <v>315300000</v>
      </c>
      <c r="E8" s="18">
        <v>355300000</v>
      </c>
      <c r="F8" s="8" t="s">
        <v>89</v>
      </c>
    </row>
    <row r="9" spans="1:6" x14ac:dyDescent="0.25">
      <c r="A9" t="s">
        <v>90</v>
      </c>
      <c r="B9" s="18">
        <v>17000000</v>
      </c>
      <c r="C9" s="18">
        <v>-124700000</v>
      </c>
      <c r="D9" s="18">
        <v>340400000</v>
      </c>
      <c r="E9" s="18">
        <v>82000000</v>
      </c>
      <c r="F9" s="8" t="s">
        <v>91</v>
      </c>
    </row>
    <row r="10" spans="1:6" x14ac:dyDescent="0.25">
      <c r="A10" t="s">
        <v>92</v>
      </c>
      <c r="B10" s="18">
        <v>2561500000</v>
      </c>
      <c r="C10" s="18">
        <v>2863600000</v>
      </c>
      <c r="D10" s="18">
        <v>2253900000</v>
      </c>
      <c r="E10" s="18">
        <v>1789300000</v>
      </c>
      <c r="F10" s="8" t="s">
        <v>93</v>
      </c>
    </row>
    <row r="11" spans="1:6" x14ac:dyDescent="0.25">
      <c r="A11" t="s">
        <v>94</v>
      </c>
      <c r="B11" s="18">
        <v>716900000</v>
      </c>
      <c r="C11" s="18">
        <v>673800000</v>
      </c>
      <c r="D11" s="18">
        <v>638900000</v>
      </c>
      <c r="E11" s="18">
        <v>450400000</v>
      </c>
      <c r="F11" s="8" t="s">
        <v>95</v>
      </c>
    </row>
    <row r="12" spans="1:6" x14ac:dyDescent="0.25">
      <c r="A12" t="s">
        <v>32</v>
      </c>
      <c r="B12" s="34">
        <v>1198785346</v>
      </c>
      <c r="C12" s="34">
        <v>1202504501</v>
      </c>
      <c r="D12" s="34">
        <v>1131982258</v>
      </c>
      <c r="E12" s="34">
        <v>1140220211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2026-09-19T00:06:33Z</dcterms:modified>
</cp:coreProperties>
</file>