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<sst xmlns="http://schemas.openxmlformats.org/spreadsheetml/2006/main" count="112" uniqueCount="100">
  <si>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Copart, Inc. (CPRT)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</si>
  <si>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</si>
  <si>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</si>
  <si>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</si>
  <si>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</si>
  <si>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</si>
  <si>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</si>
  <si>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</si>
  <si>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</si>
  <si>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</si>
  <si>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</si>
  <si>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</si>
  <si>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</si>
  <si>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</si>
  <si>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</si>
  <si>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</si>
  <si>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</si>
  <si>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</si>
  <si>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</si>
  <si>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</si>
  <si>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</si>
  <si>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</si>
  <si>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</si>
  <si>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</si>
  <si>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</si>
  <si>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</si>
  <si>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</si>
  <si>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</si>
  <si>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</si>
  <si>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</si>
  <si>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2025-07-31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</si>
  <si>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</si>
  <si>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</si>
  <si>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</si>
  <si>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</si>
  <si>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</si>
  <si>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</si>
  <si>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</si>
  <si>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</si>
  <si>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</si>
  <si>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</si>
  <si>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</si>
  <si>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</si>
  <si>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</si>
  <si>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</si>
  <si>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</si>
  <si>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</si>
  <si>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</si>
  <si>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</si>
  <si>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</si>
  <si>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</si>
  <si>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</si>
  <si>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</si>
  <si>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</si>
  <si>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</si>
  <si>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</si>
  <si>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</si>
  <si>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</si>
  <si>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</si>
  <si>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</si>
  <si>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</si>
  <si>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</si>
  <si>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</si>
  <si>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</si>
  <si>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</si>
  <si>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</si>
  <si>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</si>
  <si>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</si>
  <si>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</si>
  <si>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</si>
  <si>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</si>
  <si>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</si>
  <si>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</si>
  <si>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</si>
  <si>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</si>
  <si>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</si>
  <si>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</si>
  <si>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</si>
  <si>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</si>
  <si>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2025-07-31</t>
  </si>
  <si>
    <t>2024-07-31</t>
  </si>
  <si>
    <t>2023-07-31</t>
  </si>
  <si>
    <t>2022-07-31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</si>
  <si>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</si>
  <si>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</si>
  <si>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</si>
  <si>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</si>
  <si>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</si>
  <si>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</si>
  <si>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</si>
  <si>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</si>
  <si>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</si>
  <si>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</si>
  <si>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</si>
  <si>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</si>
  <si>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</si>
  <si>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</si>
  <si>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</si>
  <si>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11.8% of revenue against depreciation of 4.3%.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</si>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</sst>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0.0989943984010011</v>
      </c>
    </row>
    <row r="7" spans="1:2" x14ac:dyDescent="0.25">
      <c r="A7" t="s">
        <v>5</v>
      </c>
      <c r="B7" s="6">
        <v>0.37827222262733373</v>
      </c>
    </row>
    <row r="8" spans="1:2" x14ac:dyDescent="0.25">
      <c r="A8" t="s">
        <v>6</v>
      </c>
      <c r="B8" s="6">
        <v>0.195364934768822</v>
      </c>
    </row>
    <row r="9" spans="1:2" x14ac:dyDescent="0.25">
      <c r="A9" t="s">
        <v>7</v>
      </c>
      <c r="B9" s="6">
        <v>0.04315735981797025</v>
      </c>
    </row>
    <row r="10" spans="1:2" x14ac:dyDescent="0.25">
      <c r="A10" t="s">
        <v>8</v>
      </c>
      <c r="B10" s="6">
        <v>0.11823826890145883</v>
      </c>
    </row>
    <row r="11" spans="1:2" x14ac:dyDescent="0.25">
      <c r="A11" t="s">
        <v>9</v>
      </c>
      <c r="B11" s="6">
        <v>0.23950547617045173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11.711910447542907</v>
      </c>
    </row>
    <row r="14" spans="1:3" x14ac:dyDescent="0.25">
      <c r="A14" t="s">
        <v>12</v>
      </c>
      <c r="B14" s="6">
        <v>0.18376421103094892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1.0194299999999998</v>
      </c>
      <c r="C19" s="8" t="s">
        <v>19</v>
      </c>
    </row>
    <row r="20" spans="1:2" x14ac:dyDescent="0.25">
      <c r="A20" t="s">
        <v>20</v>
      </c>
      <c r="B20" s="10">
        <f>B17+B19*B18</f>
        <v>0.10604865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27107760128</v>
      </c>
    </row>
    <row r="23" spans="1:2" x14ac:dyDescent="0.25">
      <c r="A23" t="s">
        <v>24</v>
      </c>
      <c r="B23" s="11">
        <v>103739000</v>
      </c>
    </row>
    <row r="24" spans="1:2" x14ac:dyDescent="0.25">
      <c r="A24" t="s">
        <v>25</v>
      </c>
      <c r="B24" s="10">
        <f>B22/(B22+B23)</f>
        <v>0.9961876778816182</v>
      </c>
    </row>
    <row r="25" spans="1:2" x14ac:dyDescent="0.25">
      <c r="A25" t="s">
        <v>26</v>
      </c>
      <c r="B25" s="10">
        <f>1-B24</f>
        <v>0.0038123221183817835</v>
      </c>
    </row>
    <row r="26" spans="1:2" x14ac:dyDescent="0.25">
      <c r="A26" t="s">
        <v>27</v>
      </c>
      <c r="B26" s="12">
        <f>B24*B20+B25*B21*(1-B8)</f>
        <v>0.10585902399936778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4646958000</v>
      </c>
      <c r="C29" s="8" t="s">
        <v>30</v>
      </c>
    </row>
    <row r="30" spans="1:2" x14ac:dyDescent="0.25">
      <c r="A30" t="s">
        <v>31</v>
      </c>
      <c r="B30" s="11">
        <v>-4685331000</v>
      </c>
    </row>
    <row r="31" spans="1:2" x14ac:dyDescent="0.25">
      <c r="A31" t="s">
        <v>32</v>
      </c>
      <c r="B31" s="13">
        <v>977563000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0.0989943984010011</v>
      </c>
      <c r="C5" s="10">
        <f>Assumptions!B6</f>
        <v>0.0989943984010011</v>
      </c>
      <c r="D5" s="10">
        <f>Assumptions!B6</f>
        <v>0.0989943984010011</v>
      </c>
      <c r="E5" s="10">
        <f>Assumptions!B6</f>
        <v>0.0989943984010011</v>
      </c>
      <c r="F5" s="10">
        <f>Assumptions!B6</f>
        <v>0.0989943984010011</v>
      </c>
    </row>
    <row r="6" spans="1:6" x14ac:dyDescent="0.25">
      <c r="A6" t="s">
        <v>43</v>
      </c>
      <c r="B6" s="18">
        <f>Assumptions!B29*(1+B5)</f>
        <v>5106980811.604719</v>
      </c>
      <c r="C6" s="18">
        <f>B6*(1+C5)</f>
        <v>5612543304.694984</v>
      </c>
      <c r="D6" s="18">
        <f>C6*(1+D5)</f>
        <v>6168153652.642831</v>
      </c>
      <c r="E6" s="18">
        <f>D6*(1+E5)</f>
        <v>6778766312.731146</v>
      </c>
      <c r="F6" s="18">
        <f>E6*(1+F5)</f>
        <v>7449826205.760938</v>
      </c>
    </row>
    <row r="7" spans="1:6" x14ac:dyDescent="0.25">
      <c r="A7" t="s">
        <v>5</v>
      </c>
      <c r="B7" s="10">
        <f>Assumptions!B7</f>
        <v>0.37827222262733373</v>
      </c>
      <c r="C7" s="10">
        <f>Assumptions!B7</f>
        <v>0.37827222262733373</v>
      </c>
      <c r="D7" s="10">
        <f>Assumptions!B7</f>
        <v>0.37827222262733373</v>
      </c>
      <c r="E7" s="10">
        <f>Assumptions!B7</f>
        <v>0.37827222262733373</v>
      </c>
      <c r="F7" s="10">
        <f>Assumptions!B7</f>
        <v>0.37827222262733373</v>
      </c>
    </row>
    <row r="8" spans="1:6" x14ac:dyDescent="0.25">
      <c r="A8" t="s">
        <v>44</v>
      </c>
      <c r="B8" s="18">
        <f>B6*B7</f>
        <v>1931828982.5208619</v>
      </c>
      <c r="C8" s="18">
        <f>C6*C7</f>
        <v>2123069230.4591324</v>
      </c>
      <c r="D8" s="18">
        <f>D6*D7</f>
        <v>2333241191.6921105</v>
      </c>
      <c r="E8" s="18">
        <f>E6*E7</f>
        <v>2564218999.788106</v>
      </c>
      <c r="F8" s="18">
        <f>F6*F7</f>
        <v>2818062317.0405464</v>
      </c>
    </row>
    <row r="9" spans="1:6" x14ac:dyDescent="0.25">
      <c r="A9" t="s">
        <v>45</v>
      </c>
      <c r="B9" s="18">
        <f>B8*(1-Assumptions!B8)</f>
        <v>1554417339.366154</v>
      </c>
      <c r="C9" s="18">
        <f>C8*(1-Assumptions!B8)</f>
        <v>1708295948.7407908</v>
      </c>
      <c r="D9" s="18">
        <f>D8*(1-Assumptions!B8)</f>
        <v>1877407678.477253</v>
      </c>
      <c r="E9" s="18">
        <f>E8*(1-Assumptions!B8)</f>
        <v>2063260522.1615286</v>
      </c>
      <c r="F9" s="18">
        <f>F8*(1-Assumptions!B8)</f>
        <v>2267511756.297445</v>
      </c>
    </row>
    <row r="10" spans="1:6" x14ac:dyDescent="0.25">
      <c r="A10" t="s">
        <v>46</v>
      </c>
      <c r="B10" s="18">
        <f>B6*Assumptions!B9</f>
        <v>220403808.46989462</v>
      </c>
      <c r="C10" s="18">
        <f>C6*Assumptions!B9</f>
        <v>242222550.8946613</v>
      </c>
      <c r="D10" s="18">
        <f>D6*Assumptions!B9</f>
        <v>266201226.59963414</v>
      </c>
      <c r="E10" s="18">
        <f>E6*Assumptions!B9</f>
        <v>292553656.88047355</v>
      </c>
      <c r="F10" s="18">
        <f>F6*Assumptions!B9</f>
        <v>321514830.1433689</v>
      </c>
    </row>
    <row r="11" spans="1:6" x14ac:dyDescent="0.25">
      <c r="A11" t="s">
        <v>47</v>
      </c>
      <c r="B11" s="18">
        <f>-B6*Assumptions!B10</f>
        <v>-603840570.4771092</v>
      </c>
      <c r="C11" s="18">
        <f>-C6*Assumptions!B10</f>
        <v>-663617404.4816079</v>
      </c>
      <c r="D11" s="18">
        <f>-D6*Assumptions!B10</f>
        <v>-729311810.2066985</v>
      </c>
      <c r="E11" s="18">
        <f>-E6*Assumptions!B10</f>
        <v>-801509594.1048558</v>
      </c>
      <c r="F11" s="18">
        <f>-F6*Assumptions!B10</f>
        <v>-880854554.1858965</v>
      </c>
    </row>
    <row r="12" spans="1:6" x14ac:dyDescent="0.25">
      <c r="A12" t="s">
        <v>48</v>
      </c>
      <c r="B12" s="18">
        <f>-(B6-Assumptions!B29)*Assumptions!B11</f>
        <v>-110177982.54265827</v>
      </c>
      <c r="C12" s="18">
        <f>-(C6-B6)*Assumptions!B11</f>
        <v>-121084985.64150469</v>
      </c>
      <c r="D12" s="18">
        <f>-(D6-C6)*Assumptions!B11</f>
        <v>-133071720.95047933</v>
      </c>
      <c r="E12" s="18">
        <f>-(E6-D6)*Assumptions!B11</f>
        <v>-146245075.91015807</v>
      </c>
      <c r="F12" s="18">
        <f>-(F6-E6)*Assumptions!B11</f>
        <v>-160722519.2189927</v>
      </c>
    </row>
    <row r="13" spans="1:6" x14ac:dyDescent="0.25">
      <c r="A13" s="19" t="s">
        <v>49</v>
      </c>
      <c r="B13" s="20">
        <f>B9+B10+B11+B12</f>
        <v>1060802594.8162811</v>
      </c>
      <c r="C13" s="20">
        <f>C9+C10+C11+C12</f>
        <v>1165816109.5123396</v>
      </c>
      <c r="D13" s="20">
        <f>D9+D10+D11+D12</f>
        <v>1281225373.9197094</v>
      </c>
      <c r="E13" s="20">
        <f>E9+E10+E11+E12</f>
        <v>1408059509.0269883</v>
      </c>
      <c r="F13" s="20">
        <f>F9+F10+F11+F12</f>
        <v>1547449513.0359244</v>
      </c>
    </row>
    <row r="14" spans="1:6" x14ac:dyDescent="0.25">
      <c r="A14" t="s">
        <v>50</v>
      </c>
      <c r="B14" s="21">
        <f>1/(1+Assumptions!$B$26)^(1-0.5*Assumptions!$B$32)</f>
        <v>0.9509334335832431</v>
      </c>
      <c r="C14" s="21">
        <f>1/(1+Assumptions!$B$26)^(2-0.5*Assumptions!$B$32)</f>
        <v>0.8599047554399545</v>
      </c>
      <c r="D14" s="21">
        <f>1/(1+Assumptions!$B$26)^(3-0.5*Assumptions!$B$32)</f>
        <v>0.7775898525745956</v>
      </c>
      <c r="E14" s="21">
        <f>1/(1+Assumptions!$B$26)^(4-0.5*Assumptions!$B$32)</f>
        <v>0.7031545935777797</v>
      </c>
      <c r="F14" s="21">
        <f>1/(1+Assumptions!$B$26)^(5-0.5*Assumptions!$B$32)</f>
        <v>0.6358446947738446</v>
      </c>
    </row>
    <row r="15" spans="1:6" x14ac:dyDescent="0.25">
      <c r="A15" s="19" t="s">
        <v>51</v>
      </c>
      <c r="B15" s="20">
        <f>B13*B14</f>
        <v>1008752653.84266</v>
      </c>
      <c r="C15" s="20">
        <f>C13*C14</f>
        <v>1002490816.5381676</v>
      </c>
      <c r="D15" s="20">
        <f>D13*D14</f>
        <v>996267849.621058</v>
      </c>
      <c r="E15" s="20">
        <f>E13*E14</f>
        <v>990083511.8031999</v>
      </c>
      <c r="F15" s="20">
        <f>F13*F14</f>
        <v>983937563.2942619</v>
      </c>
    </row>
    <row r="17" spans="1:2" x14ac:dyDescent="0.25">
      <c r="A17" s="22" t="s">
        <v>52</v>
      </c>
      <c r="B17" s="23">
        <f>SUM(B15:F15)</f>
        <v>4981532395.099347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1547449513.0359244</v>
      </c>
    </row>
    <row r="5" spans="1:2" x14ac:dyDescent="0.25">
      <c r="A5" t="s">
        <v>56</v>
      </c>
      <c r="B5" s="18">
        <f>IF(Assumptions!$B$33=0,B4,B4-Forecast!F11-Forecast!F10-Forecast!F12)</f>
        <v>2267511756.297445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0.13604390027713062</v>
      </c>
    </row>
    <row r="7" spans="1:2" x14ac:dyDescent="0.25">
      <c r="A7" t="s">
        <v>58</v>
      </c>
      <c r="B7" s="18">
        <f>-MAX(Forecast!F9,0)*B6</f>
        <v>-308481143.2509509</v>
      </c>
    </row>
    <row r="8" spans="1:2" x14ac:dyDescent="0.25">
      <c r="A8" t="s">
        <v>59</v>
      </c>
      <c r="B8" s="18">
        <f>IF(OR(Assumptions!$B$33=0,Assumptions!B12&lt;=0),B5,MAX(B5+B7,0))</f>
        <v>1959030613.046494</v>
      </c>
    </row>
    <row r="9" spans="1:2" x14ac:dyDescent="0.25">
      <c r="A9" t="s">
        <v>60</v>
      </c>
      <c r="B9" s="18">
        <f>B8*(1+Assumptions!B12)/(Assumptions!B26-Assumptions!B12)</f>
        <v>24833423396.111683</v>
      </c>
    </row>
    <row r="10" spans="1:2" x14ac:dyDescent="0.25">
      <c r="A10" t="s">
        <v>61</v>
      </c>
      <c r="B10" s="18">
        <f>B9/(1+Assumptions!B26)^(5-0.5*Assumptions!B32)</f>
        <v>15790200519.490286</v>
      </c>
    </row>
    <row r="11" spans="1:2" x14ac:dyDescent="0.25">
      <c r="A11" t="s">
        <v>62</v>
      </c>
      <c r="B11" s="18">
        <f>Forecast!B17+B10</f>
        <v>20771732914.589634</v>
      </c>
    </row>
    <row r="12" spans="1:2" x14ac:dyDescent="0.25">
      <c r="A12" t="s">
        <v>63</v>
      </c>
      <c r="B12" s="18">
        <f>-Assumptions!B30</f>
        <v>4685331000</v>
      </c>
    </row>
    <row r="13" spans="1:2" x14ac:dyDescent="0.25">
      <c r="A13" t="s">
        <v>64</v>
      </c>
      <c r="B13" s="18">
        <f>B11+B12</f>
        <v>25457063914.589634</v>
      </c>
    </row>
    <row r="14" spans="1:2" x14ac:dyDescent="0.25">
      <c r="A14" s="19" t="s">
        <v>65</v>
      </c>
      <c r="B14" s="24">
        <f>B13/Assumptions!B31</f>
        <v>26.04135376910709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3139577147.183915</v>
      </c>
    </row>
    <row r="18" spans="1:2" x14ac:dyDescent="0.25">
      <c r="A18" t="s">
        <v>60</v>
      </c>
      <c r="B18" s="18">
        <f>B17*Assumptions!B13</f>
        <v>36770446390.97025</v>
      </c>
    </row>
    <row r="19" spans="1:2" x14ac:dyDescent="0.25">
      <c r="A19" t="s">
        <v>61</v>
      </c>
      <c r="B19" s="18">
        <f>B18/(1+Assumptions!B26)^(5-0.5*Assumptions!B32)</f>
        <v>23380293262.164497</v>
      </c>
    </row>
    <row r="20" spans="1:2" x14ac:dyDescent="0.25">
      <c r="A20" t="s">
        <v>62</v>
      </c>
      <c r="B20" s="18">
        <f>Forecast!B17+B19</f>
        <v>28361825657.263844</v>
      </c>
    </row>
    <row r="21" spans="1:2" x14ac:dyDescent="0.25">
      <c r="A21" t="s">
        <v>63</v>
      </c>
      <c r="B21" s="18">
        <f>-Assumptions!B30</f>
        <v>4685331000</v>
      </c>
    </row>
    <row r="22" spans="1:2" x14ac:dyDescent="0.25">
      <c r="A22" t="s">
        <v>64</v>
      </c>
      <c r="B22" s="18">
        <f>B20+B21</f>
        <v>33047156657.263844</v>
      </c>
    </row>
    <row r="23" spans="1:2" x14ac:dyDescent="0.25">
      <c r="A23" s="19" t="s">
        <v>65</v>
      </c>
      <c r="B23" s="25">
        <f>B22/Assumptions!B31</f>
        <v>33.80565411872569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29.28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26.04135376910709</v>
      </c>
    </row>
    <row r="29" spans="1:2" x14ac:dyDescent="0.25">
      <c r="A29" s="19" t="s">
        <v>73</v>
      </c>
      <c r="B29" s="12">
        <f>B28/B26-1</f>
        <v>-0.11060950242120593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0.085859</v>
      </c>
      <c r="B5" s="31">
        <v>31.18993540414959</v>
      </c>
      <c r="C5" s="31">
        <v>32.225935937995914</v>
      </c>
      <c r="D5" s="31">
        <v>33.425007828045636</v>
      </c>
      <c r="E5" s="31">
        <v>34.83094115903086</v>
      </c>
      <c r="F5" s="31">
        <v>36.50474620669496</v>
      </c>
    </row>
    <row r="6" spans="1:6" x14ac:dyDescent="0.25">
      <c r="A6" s="30">
        <v>0.095859</v>
      </c>
      <c r="B6" s="31">
        <v>27.717555158035854</v>
      </c>
      <c r="C6" s="31">
        <v>28.415884698414477</v>
      </c>
      <c r="D6" s="31">
        <v>29.206866624997218</v>
      </c>
      <c r="E6" s="31">
        <v>30.11160338077689</v>
      </c>
      <c r="F6" s="31">
        <v>31.158132272280927</v>
      </c>
    </row>
    <row r="7" spans="1:6" x14ac:dyDescent="0.25">
      <c r="A7" s="30">
        <v>0.105859</v>
      </c>
      <c r="B7" s="31">
        <v>25.019938077514254</v>
      </c>
      <c r="C7" s="31">
        <v>25.50324492344998</v>
      </c>
      <c r="D7" s="32">
        <v>26.04136041583623</v>
      </c>
      <c r="E7" s="31">
        <v>26.645122157287837</v>
      </c>
      <c r="F7" s="31">
        <v>27.32842667098436</v>
      </c>
    </row>
    <row r="8" spans="1:6" x14ac:dyDescent="0.25">
      <c r="A8" s="30">
        <v>0.115859</v>
      </c>
      <c r="B8" s="31">
        <v>22.866116014786048</v>
      </c>
      <c r="C8" s="31">
        <v>23.206673240314228</v>
      </c>
      <c r="D8" s="31">
        <v>23.58047106462649</v>
      </c>
      <c r="E8" s="31">
        <v>23.993316787851676</v>
      </c>
      <c r="F8" s="31">
        <v>24.452454111787905</v>
      </c>
    </row>
    <row r="9" spans="1:6" x14ac:dyDescent="0.25">
      <c r="A9" s="30">
        <v>0.125859</v>
      </c>
      <c r="B9" s="31">
        <v>21.108488466964708</v>
      </c>
      <c r="C9" s="31">
        <v>21.351163172346425</v>
      </c>
      <c r="D9" s="31">
        <v>21.614228200254118</v>
      </c>
      <c r="E9" s="31">
        <v>21.900874224885207</v>
      </c>
      <c r="F9" s="31">
        <v>22.214994255747275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4646958000</v>
      </c>
      <c r="C5" s="18">
        <v>4236823000</v>
      </c>
      <c r="D5" s="18">
        <v>3869518000</v>
      </c>
      <c r="E5" s="18">
        <v>3500921000</v>
      </c>
      <c r="F5" s="8" t="s">
        <v>84</v>
      </c>
    </row>
    <row r="6" spans="1:6" x14ac:dyDescent="0.25">
      <c r="A6" t="s">
        <v>44</v>
      </c>
      <c r="B6" s="18">
        <v>1696714000</v>
      </c>
      <c r="C6" s="18">
        <v>1572023000</v>
      </c>
      <c r="D6" s="18">
        <v>1486569000</v>
      </c>
      <c r="E6" s="18">
        <v>1374997000</v>
      </c>
      <c r="F6" s="8" t="s">
        <v>85</v>
      </c>
    </row>
    <row r="7" spans="1:6" x14ac:dyDescent="0.25">
      <c r="A7" t="s">
        <v>86</v>
      </c>
      <c r="B7" s="18">
        <v>217784000</v>
      </c>
      <c r="C7" s="18">
        <v>190256000</v>
      </c>
      <c r="D7" s="18">
        <v>159684000</v>
      </c>
      <c r="E7" s="18">
        <v>138605000</v>
      </c>
      <c r="F7" s="8" t="s">
        <v>87</v>
      </c>
    </row>
    <row r="8" spans="1:6" x14ac:dyDescent="0.25">
      <c r="A8" t="s">
        <v>88</v>
      </c>
      <c r="B8" s="18">
        <v>568990000</v>
      </c>
      <c r="C8" s="18">
        <v>510990000</v>
      </c>
      <c r="D8" s="18">
        <v>516636000</v>
      </c>
      <c r="E8" s="18">
        <v>337448000</v>
      </c>
      <c r="F8" s="8" t="s">
        <v>89</v>
      </c>
    </row>
    <row r="9" spans="1:6" x14ac:dyDescent="0.25">
      <c r="A9" t="s">
        <v>90</v>
      </c>
      <c r="B9" s="18">
        <v>-22560000</v>
      </c>
      <c r="C9" s="18">
        <v>114137000</v>
      </c>
      <c r="D9" s="18">
        <v>88281000</v>
      </c>
      <c r="E9" s="18">
        <v>125487000</v>
      </c>
      <c r="F9" s="8" t="s">
        <v>91</v>
      </c>
    </row>
    <row r="10" spans="1:6" x14ac:dyDescent="0.25">
      <c r="A10" t="s">
        <v>92</v>
      </c>
      <c r="B10" s="18">
        <v>103739000</v>
      </c>
      <c r="C10" s="18">
        <v>118733000</v>
      </c>
      <c r="D10" s="18">
        <v>120453000</v>
      </c>
      <c r="E10" s="18">
        <v>119473000</v>
      </c>
      <c r="F10" s="8" t="s">
        <v>93</v>
      </c>
    </row>
    <row r="11" spans="1:6" x14ac:dyDescent="0.25">
      <c r="A11" t="s">
        <v>94</v>
      </c>
      <c r="B11" s="18">
        <v>4789070000</v>
      </c>
      <c r="C11" s="18">
        <v>3422158000</v>
      </c>
      <c r="D11" s="18">
        <v>2363984000</v>
      </c>
      <c r="E11" s="18">
        <v>1384236000</v>
      </c>
      <c r="F11" s="8" t="s">
        <v>95</v>
      </c>
    </row>
    <row r="12" spans="1:6" x14ac:dyDescent="0.25">
      <c r="A12" t="s">
        <v>32</v>
      </c>
      <c r="B12" s="34">
        <v>977563000</v>
      </c>
      <c r="C12" s="34">
        <v>974798000</v>
      </c>
      <c r="D12" s="34">
        <v>966647000</v>
      </c>
      <c r="E12" s="34">
        <v>964604000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