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<sst xmlns="http://schemas.openxmlformats.org/spreadsheetml/2006/main" count="120" uniqueCount="107">
  <si>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Copart, Inc. (CPRT)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</si>
  <si>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</si>
  <si>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</si>
  <si>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</si>
  <si>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</si>
  <si>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</si>
  <si>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</si>
  <si>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</si>
  <si>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</si>
  <si>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</si>
  <si>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</si>
  <si>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</si>
  <si>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</si>
  <si>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</si>
  <si>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</si>
  <si>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</si>
  <si>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</si>
  <si>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</si>
  <si>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</si>
  <si>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</si>
  <si>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</si>
  <si>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</si>
  <si>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</si>
  <si>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</si>
  <si>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</si>
  <si>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</si>
  <si>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</si>
  <si>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</si>
  <si>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</si>
  <si>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</si>
  <si>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</si>
  <si>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</si>
  <si>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2026-07-31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</si>
  <si>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</si>
  <si>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</si>
  <si>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</si>
  <si>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</si>
  <si>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</si>
  <si>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</si>
  <si>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</si>
  <si>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</si>
  <si>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</si>
  <si>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</si>
  <si>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</si>
  <si>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</si>
  <si>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</si>
  <si>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</si>
  <si>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</si>
  <si>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</si>
  <si>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</si>
  <si>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</si>
  <si>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</si>
  <si>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</si>
  <si>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</si>
  <si>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</si>
  <si>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</si>
  <si>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</si>
  <si>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</si>
  <si>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</si>
  <si>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</si>
  <si>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</si>
  <si>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</si>
  <si>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</si>
  <si>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</si>
  <si>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</si>
  <si>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</si>
  <si>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</si>
  <si>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</si>
  <si>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</si>
  <si>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</si>
  <si>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</si>
  <si>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</si>
  <si>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</si>
  <si>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</si>
  <si>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</si>
  <si>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</si>
  <si>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</si>
  <si>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</si>
  <si>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</si>
  <si>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</si>
  <si>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</si>
  <si>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</si>
  <si>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</si>
  <si>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</si>
  <si>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</si>
  <si>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</si>
  <si>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2026-07-31</t>
  </si>
  <si>
    <t>2025-07-31</t>
  </si>
  <si>
    <t>2024-07-31</t>
  </si>
  <si>
    <t>2023-07-31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</si>
  <si>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</si>
  <si>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</si>
  <si>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</si>
  <si>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</si>
  <si>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</si>
  <si>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</si>
  <si>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</si>
  <si>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</si>
  <si>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</si>
  <si>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</si>
  <si>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</si>
  <si>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</si>
  <si>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</si>
  <si>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</si>
  <si>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</si>
  <si>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11.2% of revenue against depreciation of 4.6%.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</si>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</sst>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0.17606419472423984</v>
      </c>
    </row>
    <row r="7" spans="1:2" x14ac:dyDescent="0.25">
      <c r="A7" t="s">
        <v>4</v>
      </c>
      <c r="B7" s="5">
        <v>0.36862427914679186</v>
      </c>
    </row>
    <row r="8" spans="1:2" x14ac:dyDescent="0.25">
      <c r="A8" t="s">
        <v>5</v>
      </c>
      <c r="B8" s="5">
        <v>0.19845748864351384</v>
      </c>
    </row>
    <row r="9" spans="1:2" x14ac:dyDescent="0.25">
      <c r="A9" t="s">
        <v>6</v>
      </c>
      <c r="B9" s="5">
        <v>0.046035824465610276</v>
      </c>
    </row>
    <row r="10" spans="1:3" x14ac:dyDescent="0.25">
      <c r="A10" t="s">
        <v>7</v>
      </c>
      <c r="B10" s="5">
        <v>0.11221597178417493</v>
      </c>
      <c r="C10" s="6" t="s">
        <v>8</v>
      </c>
    </row>
    <row r="11" spans="1:2" x14ac:dyDescent="0.25">
      <c r="A11" t="s">
        <v>9</v>
      </c>
      <c r="B11" s="5">
        <v>0.004670959628757774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12.43162522104052</v>
      </c>
    </row>
    <row r="14" spans="1:3" x14ac:dyDescent="0.25">
      <c r="A14" t="s">
        <v>12</v>
      </c>
      <c r="B14" s="5">
        <v>0.15775154646763284</v>
      </c>
      <c r="C14" s="6" t="s">
        <v>13</v>
      </c>
    </row>
    <row r="15" spans="1:3" x14ac:dyDescent="0.25">
      <c r="A15" t="s">
        <v>14</v>
      </c>
      <c r="B15" s="5">
        <v>0.046035824465610276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1.0388600000000001</v>
      </c>
      <c r="C19" s="6" t="s">
        <v>21</v>
      </c>
    </row>
    <row r="20" spans="1:2" x14ac:dyDescent="0.25">
      <c r="A20" t="s">
        <v>22</v>
      </c>
      <c r="B20" s="9">
        <f>B17+B19*B18</f>
        <v>0.092883778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27910334464</v>
      </c>
    </row>
    <row r="23" spans="1:2" x14ac:dyDescent="0.25">
      <c r="A23" t="s">
        <v>26</v>
      </c>
      <c r="B23" s="10">
        <v>88367000</v>
      </c>
    </row>
    <row r="24" spans="1:2" x14ac:dyDescent="0.25">
      <c r="A24" t="s">
        <v>27</v>
      </c>
      <c r="B24" s="9">
        <f>B22/(B22+B23)</f>
        <v>0.9968438893455963</v>
      </c>
    </row>
    <row r="25" spans="1:2" x14ac:dyDescent="0.25">
      <c r="A25" t="s">
        <v>28</v>
      </c>
      <c r="B25" s="9">
        <f>1-B24</f>
        <v>0.0031561106544036877</v>
      </c>
    </row>
    <row r="26" spans="1:2" x14ac:dyDescent="0.25">
      <c r="A26" t="s">
        <v>29</v>
      </c>
      <c r="B26" s="11">
        <f>B24*B20+B25*B21*(1-B8)</f>
        <v>0.09276502795656476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4666209000</v>
      </c>
      <c r="C29" s="6" t="s">
        <v>32</v>
      </c>
    </row>
    <row r="30" spans="1:2" x14ac:dyDescent="0.25">
      <c r="A30" t="s">
        <v>33</v>
      </c>
      <c r="B30" s="10">
        <v>-4401435000</v>
      </c>
    </row>
    <row r="31" spans="1:2" x14ac:dyDescent="0.25">
      <c r="A31" t="s">
        <v>34</v>
      </c>
      <c r="B31" s="12">
        <v>956860000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0.17606419472423984</v>
      </c>
      <c r="C5" s="5">
        <v>0.13280145148003375</v>
      </c>
      <c r="D5" s="5">
        <v>0.11932627004502953</v>
      </c>
      <c r="E5" s="5">
        <v>0.10585108861002532</v>
      </c>
      <c r="F5" s="5">
        <v>0.09237590717502109</v>
      </c>
      <c r="G5" s="5">
        <v>0.07890072574001687</v>
      </c>
      <c r="H5" s="5">
        <v>0.06542554430501266</v>
      </c>
      <c r="I5" s="5">
        <v>0.051950362870008426</v>
      </c>
      <c r="J5" s="5">
        <v>0.03847518143500421</v>
      </c>
      <c r="K5" s="5">
        <v>0.024999999999999994</v>
      </c>
    </row>
    <row r="6" spans="1:11" x14ac:dyDescent="0.25">
      <c r="A6" t="s">
        <v>50</v>
      </c>
      <c r="B6" s="18">
        <f>Assumptions!B29*(1+B5)</f>
        <v>5487761330</v>
      </c>
      <c r="C6" s="18">
        <f>B6*(1+C5)</f>
        <v>6216544000.000001</v>
      </c>
      <c r="D6" s="18">
        <f>C6*(1+D5)</f>
        <v>6958341008.090809</v>
      </c>
      <c r="E6" s="18">
        <f>D6*(1+E5)</f>
        <v>7694888978.717001</v>
      </c>
      <c r="F6" s="18">
        <f>E6*(1+F5)</f>
        <v>8405711328.737055</v>
      </c>
      <c r="G6" s="18">
        <f>F6*(1+G5)</f>
        <v>9068928052.93549</v>
      </c>
      <c r="H6" s="18">
        <f>G6*(1+H5)</f>
        <v>9662267607.061792</v>
      </c>
      <c r="I6" s="18">
        <f>H6*(1+I5)</f>
        <v>10164225915.39578</v>
      </c>
      <c r="J6" s="18">
        <f>I6*(1+J5)</f>
        <v>10555296351.637005</v>
      </c>
      <c r="K6" s="18">
        <f>J6*(1+K5)</f>
        <v>10819178760.427929</v>
      </c>
    </row>
    <row r="7" spans="1:11" x14ac:dyDescent="0.25">
      <c r="A7" t="s">
        <v>4</v>
      </c>
      <c r="B7" s="9">
        <f>Assumptions!B7</f>
        <v>0.36862427914679186</v>
      </c>
      <c r="C7" s="9">
        <f>Assumptions!B7</f>
        <v>0.36862427914679186</v>
      </c>
      <c r="D7" s="9">
        <f>Assumptions!B7</f>
        <v>0.36862427914679186</v>
      </c>
      <c r="E7" s="9">
        <f>Assumptions!B7</f>
        <v>0.36862427914679186</v>
      </c>
      <c r="F7" s="9">
        <f>Assumptions!B7</f>
        <v>0.36862427914679186</v>
      </c>
      <c r="G7" s="9">
        <f>Assumptions!B7</f>
        <v>0.36862427914679186</v>
      </c>
      <c r="H7" s="9">
        <f>Assumptions!B7</f>
        <v>0.36862427914679186</v>
      </c>
      <c r="I7" s="9">
        <f>Assumptions!B7</f>
        <v>0.36862427914679186</v>
      </c>
      <c r="J7" s="9">
        <f>Assumptions!B7</f>
        <v>0.36862427914679186</v>
      </c>
      <c r="K7" s="9">
        <f>Assumptions!B7</f>
        <v>0.36862427914679186</v>
      </c>
    </row>
    <row r="8" spans="1:11" x14ac:dyDescent="0.25">
      <c r="A8" t="s">
        <v>51</v>
      </c>
      <c r="B8" s="18">
        <f>B6*B7</f>
        <v>2022922064.4008896</v>
      </c>
      <c r="C8" s="18">
        <f>C6*C7</f>
        <v>2291569050.784314</v>
      </c>
      <c r="D8" s="18">
        <f>D6*D7</f>
        <v>2565013438.1650352</v>
      </c>
      <c r="E8" s="18">
        <f>E6*E7</f>
        <v>2836522902.894148</v>
      </c>
      <c r="F8" s="18">
        <f>F6*F7</f>
        <v>3098549279.271719</v>
      </c>
      <c r="G8" s="18">
        <f>G6*G7</f>
        <v>3343027066.1474633</v>
      </c>
      <c r="H8" s="18">
        <f>H6*H7</f>
        <v>3561746431.5765505</v>
      </c>
      <c r="I8" s="18">
        <f>I6*I7</f>
        <v>3746780451.14791</v>
      </c>
      <c r="J8" s="18">
        <f>J6*J7</f>
        <v>3890938508.802953</v>
      </c>
      <c r="K8" s="18">
        <f>K6*K7</f>
        <v>3988211971.5230265</v>
      </c>
    </row>
    <row r="9" spans="1:11" x14ac:dyDescent="0.25">
      <c r="A9" t="s">
        <v>52</v>
      </c>
      <c r="B9" s="18">
        <f>B8*(1-Assumptions!B8)</f>
        <v>1621458031.7783365</v>
      </c>
      <c r="C9" s="18">
        <f>C8*(1-Assumptions!B8)</f>
        <v>1836790011.9124582</v>
      </c>
      <c r="D9" s="18">
        <f>D8*(1-Assumptions!B8)</f>
        <v>2055967312.8899374</v>
      </c>
      <c r="E9" s="18">
        <f>E8*(1-Assumptions!B8)</f>
        <v>2273593691.1059656</v>
      </c>
      <c r="F9" s="18">
        <f>F8*(1-Assumptions!B8)</f>
        <v>2483618970.8692837</v>
      </c>
      <c r="G9" s="18">
        <f>G8*(1-Assumptions!B8)</f>
        <v>2679578310.1325436</v>
      </c>
      <c r="H9" s="18">
        <f>H8*(1-Assumptions!B8)</f>
        <v>2854891179.580871</v>
      </c>
      <c r="I9" s="18">
        <f>I8*(1-Assumptions!B8)</f>
        <v>3003203812.314484</v>
      </c>
      <c r="J9" s="18">
        <f>J8*(1-Assumptions!B8)</f>
        <v>3118752623.87958</v>
      </c>
      <c r="K9" s="18">
        <f>K8*(1-Assumptions!B8)</f>
        <v>3196721439.476569</v>
      </c>
    </row>
    <row r="10" spans="1:11" x14ac:dyDescent="0.25">
      <c r="A10" t="s">
        <v>53</v>
      </c>
      <c r="B10" s="18">
        <f>B6*Assumptions!B9</f>
        <v>252633617.29704398</v>
      </c>
      <c r="C10" s="18">
        <f>C6*Assumptions!B9</f>
        <v>286183728.3667428</v>
      </c>
      <c r="D10" s="18">
        <f>D6*Assumptions!B9</f>
        <v>320332965.2203261</v>
      </c>
      <c r="E10" s="18">
        <f>E6*Assumptions!B9</f>
        <v>354240558.306575</v>
      </c>
      <c r="F10" s="18">
        <f>F6*Assumptions!B9</f>
        <v>386963851.2383308</v>
      </c>
      <c r="G10" s="18">
        <f>G6*Assumptions!B9</f>
        <v>417495579.93618697</v>
      </c>
      <c r="H10" s="18">
        <f>H6*Assumptions!B9</f>
        <v>444810455.4984489</v>
      </c>
      <c r="I10" s="18">
        <f>I6*Assumptions!B9</f>
        <v>467918520.0699671</v>
      </c>
      <c r="J10" s="18">
        <f>J6*Assumptions!B9</f>
        <v>485921770.0264577</v>
      </c>
      <c r="K10" s="18">
        <f>K6*Assumptions!B9</f>
        <v>498069814.2771191</v>
      </c>
    </row>
    <row r="11" spans="1:11" x14ac:dyDescent="0.25">
      <c r="A11" t="s">
        <v>54</v>
      </c>
      <c r="B11" s="18">
        <f>-B6*B19</f>
        <v>-615814470.5655663</v>
      </c>
      <c r="C11" s="18">
        <f>-C6*C19</f>
        <v>-684226333.6678205</v>
      </c>
      <c r="D11" s="18">
        <f>-D6*D19</f>
        <v>-750908021.6333889</v>
      </c>
      <c r="E11" s="18">
        <f>-E6*E19</f>
        <v>-813843957.4948925</v>
      </c>
      <c r="F11" s="18">
        <f>-F6*F19</f>
        <v>-870946353.3926976</v>
      </c>
      <c r="G11" s="18">
        <f>-G6*G19</f>
        <v>-920161172.3197728</v>
      </c>
      <c r="H11" s="18">
        <f>-H6*H19</f>
        <v>-959583711.6075202</v>
      </c>
      <c r="I11" s="18">
        <f>-I6*I19</f>
        <v>-987575424.4796219</v>
      </c>
      <c r="J11" s="18">
        <f>-J6*J19</f>
        <v>-1002872529.6241299</v>
      </c>
      <c r="K11" s="18">
        <f>-K6*K19</f>
        <v>-1004676803.409309</v>
      </c>
    </row>
    <row r="12" spans="1:11" x14ac:dyDescent="0.25">
      <c r="A12" t="s">
        <v>55</v>
      </c>
      <c r="B12" s="18">
        <f>-(B6-Assumptions!B29)*Assumptions!B11</f>
        <v>-3837437.766341884</v>
      </c>
      <c r="C12" s="18">
        <f>-(C6-B6)*Assumptions!B11</f>
        <v>-3404114.429708304</v>
      </c>
      <c r="D12" s="18">
        <f>-(D6-C6)*Assumptions!B11</f>
        <v>-3464903.8775254674</v>
      </c>
      <c r="E12" s="18">
        <f>-(E6-D6)*Assumptions!B11</f>
        <v>-3440385.83543841</v>
      </c>
      <c r="F12" s="18">
        <f>-(F6-E6)*Assumptions!B11</f>
        <v>-3320222.5001623994</v>
      </c>
      <c r="G12" s="18">
        <f>-(G6-F6)*Assumptions!B11</f>
        <v>-3097858.543847868</v>
      </c>
      <c r="H12" s="18">
        <f>-(H6-G6)*Assumptions!B11</f>
        <v>-2771465.103469098</v>
      </c>
      <c r="I12" s="18">
        <f>-(I6-H6)*Assumptions!B11</f>
        <v>-2344626.993547606</v>
      </c>
      <c r="J12" s="18">
        <f>-(J6-I6)*Assumptions!B11</f>
        <v>-1826674.2196834497</v>
      </c>
      <c r="K12" s="18">
        <f>-(K6-J6)*Assumptions!B11</f>
        <v>-1232584.078201762</v>
      </c>
    </row>
    <row r="13" spans="1:11" x14ac:dyDescent="0.25">
      <c r="A13" s="19" t="s">
        <v>56</v>
      </c>
      <c r="B13" s="20">
        <f>B9+B10+B11+B12</f>
        <v>1254439740.7434723</v>
      </c>
      <c r="C13" s="20">
        <f>C9+C10+C11+C12</f>
        <v>1435343292.1816723</v>
      </c>
      <c r="D13" s="20">
        <f>D9+D10+D11+D12</f>
        <v>1621927352.5993488</v>
      </c>
      <c r="E13" s="20">
        <f>E9+E10+E11+E12</f>
        <v>1810549906.0822093</v>
      </c>
      <c r="F13" s="20">
        <f>F9+F10+F11+F12</f>
        <v>1996316246.2147546</v>
      </c>
      <c r="G13" s="20">
        <f>G9+G10+G11+G12</f>
        <v>2173814859.2051096</v>
      </c>
      <c r="H13" s="20">
        <f>H9+H10+H11+H12</f>
        <v>2337346458.368331</v>
      </c>
      <c r="I13" s="20">
        <f>I9+I10+I11+I12</f>
        <v>2481202280.911282</v>
      </c>
      <c r="J13" s="20">
        <f>J9+J10+J11+J12</f>
        <v>2599975190.0622244</v>
      </c>
      <c r="K13" s="20">
        <f>K9+K10+K11+K12</f>
        <v>2688881866.2661777</v>
      </c>
    </row>
    <row r="14" spans="1:11" x14ac:dyDescent="0.25">
      <c r="A14" t="s">
        <v>57</v>
      </c>
      <c r="B14" s="21">
        <f>1/(1+Assumptions!$B$26)^(1-0.5*Assumptions!$B$32)</f>
        <v>0.9566137217532052</v>
      </c>
      <c r="C14" s="21">
        <f>1/(1+Assumptions!$B$26)^(2-0.5*Assumptions!$B$32)</f>
        <v>0.8754066036886649</v>
      </c>
      <c r="D14" s="21">
        <f>1/(1+Assumptions!$B$26)^(3-0.5*Assumptions!$B$32)</f>
        <v>0.8010931730910594</v>
      </c>
      <c r="E14" s="21">
        <f>1/(1+Assumptions!$B$26)^(4-0.5*Assumptions!$B$32)</f>
        <v>0.7330882235397648</v>
      </c>
      <c r="F14" s="21">
        <f>1/(1+Assumptions!$B$26)^(5-0.5*Assumptions!$B$32)</f>
        <v>0.6708562268968434</v>
      </c>
      <c r="G14" s="21">
        <f>1/(1+Assumptions!$B$26)^(6-0.5*Assumptions!$B$32)</f>
        <v>0.6139071161083209</v>
      </c>
      <c r="H14" s="21">
        <f>1/(1+Assumptions!$B$26)^(7-0.5*Assumptions!$B$32)</f>
        <v>0.5617924260042503</v>
      </c>
      <c r="I14" s="21">
        <f>1/(1+Assumptions!$B$26)^(8-0.5*Assumptions!$B$32)</f>
        <v>0.5141017617069829</v>
      </c>
      <c r="J14" s="21">
        <f>1/(1+Assumptions!$B$26)^(9-0.5*Assumptions!$B$32)</f>
        <v>0.47045956683692236</v>
      </c>
      <c r="K14" s="21">
        <f>1/(1+Assumptions!$B$26)^(10-0.5*Assumptions!$B$32)</f>
        <v>0.43052216606589844</v>
      </c>
    </row>
    <row r="15" spans="1:11" x14ac:dyDescent="0.25">
      <c r="A15" s="19" t="s">
        <v>58</v>
      </c>
      <c r="B15" s="20">
        <f>B13*B14</f>
        <v>1200014269.107739</v>
      </c>
      <c r="C15" s="20">
        <f>C13*C14</f>
        <v>1256508996.5360646</v>
      </c>
      <c r="D15" s="20">
        <f>D13*D14</f>
        <v>1299314929.4169939</v>
      </c>
      <c r="E15" s="20">
        <f>E13*E14</f>
        <v>1327292814.2798948</v>
      </c>
      <c r="F15" s="20">
        <f>F13*F14</f>
        <v>1339241184.6285002</v>
      </c>
      <c r="G15" s="20">
        <f>G13*G14</f>
        <v>1334520411.1680245</v>
      </c>
      <c r="H15" s="20">
        <f>H13*H14</f>
        <v>1313103537.259187</v>
      </c>
      <c r="I15" s="20">
        <f>I13*I14</f>
        <v>1275590463.7678742</v>
      </c>
      <c r="J15" s="20">
        <f>J13*J14</f>
        <v>1223183201.703419</v>
      </c>
      <c r="K15" s="20">
        <f>K13*K14</f>
        <v>1157623245.3602302</v>
      </c>
    </row>
    <row r="17" spans="1:2" x14ac:dyDescent="0.25">
      <c r="A17" s="22" t="s">
        <v>59</v>
      </c>
      <c r="B17" s="23">
        <f>SUM(B15:K15)</f>
        <v>12726393053.227926</v>
      </c>
    </row>
    <row r="19" spans="1:11" x14ac:dyDescent="0.25">
      <c r="A19" t="s">
        <v>7</v>
      </c>
      <c r="B19" s="9">
        <f>Assumptions!$B$10+($B$20-Assumptions!$B$10)*0/9</f>
        <v>0.11221597178417493</v>
      </c>
      <c r="C19" s="9">
        <f>Assumptions!$B$10+($B$20-Assumptions!$B$10)*1/9</f>
        <v>0.11006538901161488</v>
      </c>
      <c r="D19" s="9">
        <f>Assumptions!$B$10+($B$20-Assumptions!$B$10)*2/9</f>
        <v>0.1079148062390548</v>
      </c>
      <c r="E19" s="9">
        <f>Assumptions!$B$10+($B$20-Assumptions!$B$10)*3/9</f>
        <v>0.10576422346649475</v>
      </c>
      <c r="F19" s="9">
        <f>Assumptions!$B$10+($B$20-Assumptions!$B$10)*4/9</f>
        <v>0.1036136406939347</v>
      </c>
      <c r="G19" s="9">
        <f>Assumptions!$B$10+($B$20-Assumptions!$B$10)*5/9</f>
        <v>0.10146305792137462</v>
      </c>
      <c r="H19" s="9">
        <f>Assumptions!$B$10+($B$20-Assumptions!$B$10)*6/9</f>
        <v>0.09931247514881457</v>
      </c>
      <c r="I19" s="9">
        <f>Assumptions!$B$10+($B$20-Assumptions!$B$10)*7/9</f>
        <v>0.09716189237625451</v>
      </c>
      <c r="J19" s="9">
        <f>Assumptions!$B$10+($B$20-Assumptions!$B$10)*8/9</f>
        <v>0.09501130960369444</v>
      </c>
      <c r="K19" s="9">
        <f>Assumptions!$B$10+($B$20-Assumptions!$B$10)*9/9</f>
        <v>0.09286072683113439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0.09286072683113439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2688881866.2661777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3196721439.476569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0.15847705179314647</v>
      </c>
    </row>
    <row r="7" spans="1:2" x14ac:dyDescent="0.25">
      <c r="A7" t="s">
        <v>66</v>
      </c>
      <c r="B7" s="18">
        <f>-MAX(B5,0)*B6</f>
        <v>-506606989.13219</v>
      </c>
    </row>
    <row r="8" spans="1:2" x14ac:dyDescent="0.25">
      <c r="A8" t="s">
        <v>67</v>
      </c>
      <c r="B8" s="18">
        <f>IF(OR(Assumptions!$B$33=0,Assumptions!B12&lt;=0),B5,MAX(B5+B7,0))</f>
        <v>2690114450.3443794</v>
      </c>
    </row>
    <row r="9" spans="1:2" x14ac:dyDescent="0.25">
      <c r="A9" t="s">
        <v>68</v>
      </c>
      <c r="B9" s="18">
        <f>B8*(1+Assumptions!B12)/(Assumptions!B26-Assumptions!B12)</f>
        <v>40690122836.96503</v>
      </c>
    </row>
    <row r="10" spans="1:2" x14ac:dyDescent="0.25">
      <c r="A10" t="s">
        <v>69</v>
      </c>
      <c r="B10" s="18">
        <f>B9/(1+Assumptions!B26)^(10-0.5*Assumptions!B32)</f>
        <v>17517999821.257664</v>
      </c>
    </row>
    <row r="11" spans="1:2" x14ac:dyDescent="0.25">
      <c r="A11" t="s">
        <v>70</v>
      </c>
      <c r="B11" s="18">
        <f>Forecast!B17+B10</f>
        <v>30244392874.485588</v>
      </c>
    </row>
    <row r="12" spans="1:2" x14ac:dyDescent="0.25">
      <c r="A12" t="s">
        <v>71</v>
      </c>
      <c r="B12" s="18">
        <f>-Assumptions!B30</f>
        <v>4401435000</v>
      </c>
    </row>
    <row r="13" spans="1:2" x14ac:dyDescent="0.25">
      <c r="A13" t="s">
        <v>72</v>
      </c>
      <c r="B13" s="18">
        <f>B11+B12</f>
        <v>34645827874.48559</v>
      </c>
    </row>
    <row r="14" spans="1:2" x14ac:dyDescent="0.25">
      <c r="A14" s="19" t="s">
        <v>73</v>
      </c>
      <c r="B14" s="24">
        <f>B13/Assumptions!B31</f>
        <v>36.20783382572747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4486281785.800145</v>
      </c>
    </row>
    <row r="18" spans="1:2" x14ac:dyDescent="0.25">
      <c r="A18" t="s">
        <v>68</v>
      </c>
      <c r="B18" s="18">
        <f>B17*Assumptions!B13</f>
        <v>55771773797.04778</v>
      </c>
    </row>
    <row r="19" spans="1:2" x14ac:dyDescent="0.25">
      <c r="A19" t="s">
        <v>69</v>
      </c>
      <c r="B19" s="18">
        <f>B18/(1+Assumptions!B26)^(10-0.5*Assumptions!B32)</f>
        <v>24010984860.44233</v>
      </c>
    </row>
    <row r="20" spans="1:2" x14ac:dyDescent="0.25">
      <c r="A20" t="s">
        <v>70</v>
      </c>
      <c r="B20" s="18">
        <f>Forecast!B17+B19</f>
        <v>36737377913.67026</v>
      </c>
    </row>
    <row r="21" spans="1:2" x14ac:dyDescent="0.25">
      <c r="A21" t="s">
        <v>71</v>
      </c>
      <c r="B21" s="18">
        <f>-Assumptions!B30</f>
        <v>4401435000</v>
      </c>
    </row>
    <row r="22" spans="1:2" x14ac:dyDescent="0.25">
      <c r="A22" t="s">
        <v>72</v>
      </c>
      <c r="B22" s="18">
        <f>B20+B21</f>
        <v>41138812913.67026</v>
      </c>
    </row>
    <row r="23" spans="1:2" x14ac:dyDescent="0.25">
      <c r="A23" s="19" t="s">
        <v>73</v>
      </c>
      <c r="B23" s="25">
        <f>B22/Assumptions!B31</f>
        <v>42.993554870796416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30.13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36.20783382572747</v>
      </c>
    </row>
    <row r="29" spans="1:2" x14ac:dyDescent="0.25">
      <c r="A29" s="19" t="s">
        <v>81</v>
      </c>
      <c r="B29" s="11">
        <f>B28/B26-1</f>
        <v>0.2017203393869058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0.072765</v>
      </c>
      <c r="B5" s="31">
        <v>47.03312004449172</v>
      </c>
      <c r="C5" s="31">
        <v>48.423558184599095</v>
      </c>
      <c r="D5" s="31">
        <v>50.15424260632089</v>
      </c>
      <c r="E5" s="31">
        <v>52.34451609521115</v>
      </c>
      <c r="F5" s="31">
        <v>55.17692428896417</v>
      </c>
    </row>
    <row r="6" spans="1:6" x14ac:dyDescent="0.25">
      <c r="A6" s="30">
        <v>0.082765</v>
      </c>
      <c r="B6" s="31">
        <v>40.3433899486923</v>
      </c>
      <c r="C6" s="31">
        <v>41.071312636381165</v>
      </c>
      <c r="D6" s="31">
        <v>41.963637513112396</v>
      </c>
      <c r="E6" s="31">
        <v>43.067100726628574</v>
      </c>
      <c r="F6" s="31">
        <v>44.4480076271186</v>
      </c>
    </row>
    <row r="7" spans="1:6" x14ac:dyDescent="0.25">
      <c r="A7" s="30">
        <v>0.092765</v>
      </c>
      <c r="B7" s="31">
        <v>35.39845309103349</v>
      </c>
      <c r="C7" s="31">
        <v>35.76093630743084</v>
      </c>
      <c r="D7" s="32">
        <v>36.207847519074825</v>
      </c>
      <c r="E7" s="31">
        <v>36.75936389363373</v>
      </c>
      <c r="F7" s="31">
        <v>37.44264854793823</v>
      </c>
    </row>
    <row r="8" spans="1:6" x14ac:dyDescent="0.25">
      <c r="A8" s="30">
        <v>0.102765</v>
      </c>
      <c r="B8" s="31">
        <v>31.600394893232707</v>
      </c>
      <c r="C8" s="31">
        <v>31.751037539840922</v>
      </c>
      <c r="D8" s="31">
        <v>31.946560066346468</v>
      </c>
      <c r="E8" s="31">
        <v>32.19621414867129</v>
      </c>
      <c r="F8" s="31">
        <v>32.511981980238076</v>
      </c>
    </row>
    <row r="9" spans="1:6" x14ac:dyDescent="0.25">
      <c r="A9" s="30">
        <v>0.112765</v>
      </c>
      <c r="B9" s="31">
        <v>28.596044297327012</v>
      </c>
      <c r="C9" s="31">
        <v>28.6200015023989</v>
      </c>
      <c r="D9" s="31">
        <v>28.66809203070912</v>
      </c>
      <c r="E9" s="31">
        <v>28.7446897099454</v>
      </c>
      <c r="F9" s="31">
        <v>28.855293251146023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4666209000</v>
      </c>
      <c r="C5" s="18">
        <v>4646958000</v>
      </c>
      <c r="D5" s="18">
        <v>4236823000</v>
      </c>
      <c r="E5" s="18">
        <v>3869518000</v>
      </c>
      <c r="F5" s="6" t="s">
        <v>91</v>
      </c>
    </row>
    <row r="6" spans="1:6" x14ac:dyDescent="0.25">
      <c r="A6" t="s">
        <v>51</v>
      </c>
      <c r="B6" s="18">
        <v>1652590000</v>
      </c>
      <c r="C6" s="18">
        <v>1696714000</v>
      </c>
      <c r="D6" s="18">
        <v>1572023000</v>
      </c>
      <c r="E6" s="18">
        <v>1486569000</v>
      </c>
      <c r="F6" s="6" t="s">
        <v>92</v>
      </c>
    </row>
    <row r="7" spans="1:6" x14ac:dyDescent="0.25">
      <c r="A7" t="s">
        <v>93</v>
      </c>
      <c r="B7" s="18">
        <v>238466000</v>
      </c>
      <c r="C7" s="18">
        <v>217784000</v>
      </c>
      <c r="D7" s="18">
        <v>190256000</v>
      </c>
      <c r="E7" s="18">
        <v>159684000</v>
      </c>
      <c r="F7" s="6" t="s">
        <v>94</v>
      </c>
    </row>
    <row r="8" spans="1:6" x14ac:dyDescent="0.25">
      <c r="A8" t="s">
        <v>95</v>
      </c>
      <c r="B8" s="18">
        <v>337363000</v>
      </c>
      <c r="C8" s="18">
        <v>568990000</v>
      </c>
      <c r="D8" s="18">
        <v>510990000</v>
      </c>
      <c r="E8" s="18">
        <v>516636000</v>
      </c>
      <c r="F8" s="6" t="s">
        <v>96</v>
      </c>
    </row>
    <row r="9" spans="1:6" x14ac:dyDescent="0.25">
      <c r="A9" t="s">
        <v>97</v>
      </c>
      <c r="B9" s="18">
        <v>207603000</v>
      </c>
      <c r="C9" s="18">
        <v>-22560000</v>
      </c>
      <c r="D9" s="18">
        <v>114137000</v>
      </c>
      <c r="E9" s="18">
        <v>88281000</v>
      </c>
      <c r="F9" s="6" t="s">
        <v>98</v>
      </c>
    </row>
    <row r="10" spans="1:6" x14ac:dyDescent="0.25">
      <c r="A10" t="s">
        <v>99</v>
      </c>
      <c r="B10" s="18">
        <v>88367000</v>
      </c>
      <c r="C10" s="18">
        <v>103739000</v>
      </c>
      <c r="D10" s="18">
        <v>118733000</v>
      </c>
      <c r="E10" s="18">
        <v>120453000</v>
      </c>
      <c r="F10" s="6" t="s">
        <v>100</v>
      </c>
    </row>
    <row r="11" spans="1:6" x14ac:dyDescent="0.25">
      <c r="A11" t="s">
        <v>101</v>
      </c>
      <c r="B11" s="18">
        <v>4489802000</v>
      </c>
      <c r="C11" s="18">
        <v>4789070000</v>
      </c>
      <c r="D11" s="18">
        <v>3422158000</v>
      </c>
      <c r="E11" s="18">
        <v>2363984000</v>
      </c>
      <c r="F11" s="6" t="s">
        <v>102</v>
      </c>
    </row>
    <row r="12" spans="1:6" x14ac:dyDescent="0.25">
      <c r="A12" t="s">
        <v>34</v>
      </c>
      <c r="B12" s="34">
        <v>956860000</v>
      </c>
      <c r="C12" s="34">
        <v>977563000</v>
      </c>
      <c r="D12" s="34">
        <v>974798000</v>
      </c>
      <c r="E12" s="34">
        <v>966647000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