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<sst xmlns="http://schemas.openxmlformats.org/spreadsheetml/2006/main" count="120" uniqueCount="107">
  <si>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Camden Property Trust (CPT)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</si>
  <si>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</si>
  <si>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</si>
  <si>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</si>
  <si>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</si>
  <si>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</si>
  <si>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</si>
  <si>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</si>
  <si>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</si>
  <si>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</si>
  <si>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</si>
  <si>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</si>
  <si>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</si>
  <si>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</si>
  <si>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</si>
  <si>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</si>
  <si>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</si>
  <si>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</si>
  <si>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</si>
  <si>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</si>
  <si>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</si>
  <si>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</si>
  <si>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</si>
  <si>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</si>
  <si>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+ 184bp, the spread for a BB rating at 2.1x interest cover. Book interest / average debt was lower, at 3.7%.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</si>
  <si>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</si>
  <si>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</si>
  <si>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</si>
  <si>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</si>
  <si>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</si>
  <si>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</si>
  <si>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</si>
  <si>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</si>
  <si>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</si>
  <si>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</si>
  <si>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</si>
  <si>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</si>
  <si>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</si>
  <si>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</si>
  <si>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</si>
  <si>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</si>
  <si>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</si>
  <si>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</si>
  <si>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</si>
  <si>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</si>
  <si>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</si>
  <si>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</si>
  <si>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</si>
  <si>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</si>
  <si>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</si>
  <si>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</si>
  <si>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</si>
  <si>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</si>
  <si>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</si>
  <si>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</si>
  <si>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</si>
  <si>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</si>
  <si>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</si>
  <si>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</si>
  <si>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</si>
  <si>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</si>
  <si>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</si>
  <si>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</si>
  <si>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</si>
  <si>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</si>
  <si>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</si>
  <si>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</si>
  <si>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</si>
  <si>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</si>
  <si>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</si>
  <si>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</si>
  <si>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</si>
  <si>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</si>
  <si>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</si>
  <si>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</si>
  <si>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</si>
  <si>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</si>
  <si>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</si>
  <si>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</si>
  <si>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</si>
  <si>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</si>
  <si>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</si>
  <si>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</si>
  <si>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</si>
  <si>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</si>
  <si>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</si>
  <si>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</si>
  <si>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</si>
  <si>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</si>
  <si>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</si>
  <si>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</si>
  <si>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</si>
  <si>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</si>
  <si>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</si>
  <si>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</si>
  <si>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</si>
  <si>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</si>
  <si>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</si>
  <si>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</si>
  <si>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</si>
  <si>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</si>
  <si>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</si>
  <si>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</si>
  <si>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</si>
  <si>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</si>
  <si>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6.9% of the market price. A gap that size is a modelling failure rather than a view - most often an unusable beta, a currency or units mismatch, or a cashflow base that does not represent the business. Read the figures below as diagnostics, not as a call.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</si>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</sst>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-0.015184627821020591</v>
      </c>
    </row>
    <row r="7" spans="1:2" x14ac:dyDescent="0.25">
      <c r="A7" t="s">
        <v>4</v>
      </c>
      <c r="B7" s="5">
        <v>0.1924527029508064</v>
      </c>
    </row>
    <row r="8" spans="1:2" x14ac:dyDescent="0.25">
      <c r="A8" t="s">
        <v>5</v>
      </c>
      <c r="B8" s="5">
        <v>0.009443440834872207</v>
      </c>
    </row>
    <row r="9" spans="1:2" x14ac:dyDescent="0.25">
      <c r="A9" t="s">
        <v>6</v>
      </c>
      <c r="B9" s="5">
        <v>0.3859078818093121</v>
      </c>
    </row>
    <row r="10" spans="1:3" x14ac:dyDescent="0.25">
      <c r="A10" t="s">
        <v>7</v>
      </c>
      <c r="B10" s="5">
        <v>0.2793229939784014</v>
      </c>
      <c r="C10" s="6" t="s">
        <v>8</v>
      </c>
    </row>
    <row r="11" spans="1:2" x14ac:dyDescent="0.25">
      <c r="A11" t="s">
        <v>9</v>
      </c>
      <c r="B11" s="5">
        <v>-0.13790258954001877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17.25543497890394</v>
      </c>
    </row>
    <row r="14" spans="1:3" x14ac:dyDescent="0.25">
      <c r="A14" t="s">
        <v>12</v>
      </c>
      <c r="B14" s="5">
        <v>0.08096733196054079</v>
      </c>
      <c r="C14" s="6" t="s">
        <v>13</v>
      </c>
    </row>
    <row r="15" spans="1:3" x14ac:dyDescent="0.25">
      <c r="A15" t="s">
        <v>14</v>
      </c>
      <c r="B15" s="5">
        <v>0.3859078818093121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0.87002</v>
      </c>
      <c r="C19" s="6" t="s">
        <v>21</v>
      </c>
    </row>
    <row r="20" spans="1:2" x14ac:dyDescent="0.25">
      <c r="A20" t="s">
        <v>22</v>
      </c>
      <c r="B20" s="9">
        <f>B17+B19*B18</f>
        <v>0.08574184600000001</v>
      </c>
    </row>
    <row r="21" spans="1:3" x14ac:dyDescent="0.25">
      <c r="A21" t="s">
        <v>23</v>
      </c>
      <c r="B21" s="5">
        <v>0.06734000000000001</v>
      </c>
      <c r="C21" s="6" t="s">
        <v>24</v>
      </c>
    </row>
    <row r="22" spans="1:2" x14ac:dyDescent="0.25">
      <c r="A22" t="s">
        <v>25</v>
      </c>
      <c r="B22" s="10">
        <v>11653113856</v>
      </c>
    </row>
    <row r="23" spans="1:2" x14ac:dyDescent="0.25">
      <c r="A23" t="s">
        <v>26</v>
      </c>
      <c r="B23" s="10">
        <v>3900790000</v>
      </c>
    </row>
    <row r="24" spans="1:2" x14ac:dyDescent="0.25">
      <c r="A24" t="s">
        <v>27</v>
      </c>
      <c r="B24" s="9">
        <f>B22/(B22+B23)</f>
        <v>0.7492082993366806</v>
      </c>
    </row>
    <row r="25" spans="1:2" x14ac:dyDescent="0.25">
      <c r="A25" t="s">
        <v>28</v>
      </c>
      <c r="B25" s="9">
        <f>1-B24</f>
        <v>0.25079170066331935</v>
      </c>
    </row>
    <row r="26" spans="1:2" x14ac:dyDescent="0.25">
      <c r="A26" t="s">
        <v>29</v>
      </c>
      <c r="B26" s="11">
        <f>B24*B20+B25*B21*(1-B8)</f>
        <v>0.08096733196054079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1573544000</v>
      </c>
      <c r="C29" s="6" t="s">
        <v>32</v>
      </c>
    </row>
    <row r="30" spans="1:2" x14ac:dyDescent="0.25">
      <c r="A30" t="s">
        <v>33</v>
      </c>
      <c r="B30" s="10">
        <v>3875587000</v>
      </c>
    </row>
    <row r="31" spans="1:2" x14ac:dyDescent="0.25">
      <c r="A31" t="s">
        <v>34</v>
      </c>
      <c r="B31" s="12">
        <v>108434000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-0.015184627821020591</v>
      </c>
      <c r="C5" s="5">
        <v>0.008241078542157831</v>
      </c>
      <c r="D5" s="5">
        <v>0.010335943724388102</v>
      </c>
      <c r="E5" s="5">
        <v>0.012430808906618374</v>
      </c>
      <c r="F5" s="5">
        <v>0.014525674088848646</v>
      </c>
      <c r="G5" s="5">
        <v>0.016620539271078916</v>
      </c>
      <c r="H5" s="5">
        <v>0.018715404453309187</v>
      </c>
      <c r="I5" s="5">
        <v>0.02081026963553946</v>
      </c>
      <c r="J5" s="5">
        <v>0.02290513481776973</v>
      </c>
      <c r="K5" s="5">
        <v>0.025</v>
      </c>
    </row>
    <row r="6" spans="1:11" x14ac:dyDescent="0.25">
      <c r="A6" t="s">
        <v>50</v>
      </c>
      <c r="B6" s="18">
        <f>Assumptions!B29*(1+B5)</f>
        <v>1549650320</v>
      </c>
      <c r="C6" s="18">
        <f>B6*(1+C5)</f>
        <v>1562421110</v>
      </c>
      <c r="D6" s="18">
        <f>C6*(1+D5)</f>
        <v>1578570206.6667562</v>
      </c>
      <c r="E6" s="18">
        <f>D6*(1+E5)</f>
        <v>1598193111.2515116</v>
      </c>
      <c r="F6" s="18">
        <f>E6*(1+F5)</f>
        <v>1621407943.516594</v>
      </c>
      <c r="G6" s="18">
        <f>F6*(1+G5)</f>
        <v>1648356617.916251</v>
      </c>
      <c r="H6" s="18">
        <f>G6*(1+H5)</f>
        <v>1679206278.7038422</v>
      </c>
      <c r="I6" s="18">
        <f>H6*(1+I5)</f>
        <v>1714151014.1373599</v>
      </c>
      <c r="J6" s="18">
        <f>I6*(1+J5)</f>
        <v>1753413874.2141929</v>
      </c>
      <c r="K6" s="18">
        <f>J6*(1+K5)</f>
        <v>1797249221.0695474</v>
      </c>
    </row>
    <row r="7" spans="1:11" x14ac:dyDescent="0.25">
      <c r="A7" t="s">
        <v>4</v>
      </c>
      <c r="B7" s="9">
        <f>Assumptions!B7</f>
        <v>0.1924527029508064</v>
      </c>
      <c r="C7" s="9">
        <f>Assumptions!B7</f>
        <v>0.1924527029508064</v>
      </c>
      <c r="D7" s="9">
        <f>Assumptions!B7</f>
        <v>0.1924527029508064</v>
      </c>
      <c r="E7" s="9">
        <f>Assumptions!B7</f>
        <v>0.1924527029508064</v>
      </c>
      <c r="F7" s="9">
        <f>Assumptions!B7</f>
        <v>0.1924527029508064</v>
      </c>
      <c r="G7" s="9">
        <f>Assumptions!B7</f>
        <v>0.1924527029508064</v>
      </c>
      <c r="H7" s="9">
        <f>Assumptions!B7</f>
        <v>0.1924527029508064</v>
      </c>
      <c r="I7" s="9">
        <f>Assumptions!B7</f>
        <v>0.1924527029508064</v>
      </c>
      <c r="J7" s="9">
        <f>Assumptions!B7</f>
        <v>0.1924527029508064</v>
      </c>
      <c r="K7" s="9">
        <f>Assumptions!B7</f>
        <v>0.1924527029508064</v>
      </c>
    </row>
    <row r="8" spans="1:11" x14ac:dyDescent="0.25">
      <c r="A8" t="s">
        <v>51</v>
      </c>
      <c r="B8" s="18">
        <f>B6*B7</f>
        <v>298234392.7125821</v>
      </c>
      <c r="C8" s="18">
        <f>C6*C7</f>
        <v>300692165.7668992</v>
      </c>
      <c r="D8" s="18">
        <f>D6*D7</f>
        <v>303800103.0706303</v>
      </c>
      <c r="E8" s="18">
        <f>E6*E7</f>
        <v>307576584.0977123</v>
      </c>
      <c r="F8" s="18">
        <f>F6*F7</f>
        <v>312044341.3156769</v>
      </c>
      <c r="G8" s="18">
        <f>G6*G7</f>
        <v>317230686.54483217</v>
      </c>
      <c r="H8" s="18">
        <f>H6*H7</f>
        <v>323167787.1485196</v>
      </c>
      <c r="I8" s="18">
        <f>I6*I7</f>
        <v>329892995.93660086</v>
      </c>
      <c r="J8" s="18">
        <f>J6*J7</f>
        <v>337449239.4839667</v>
      </c>
      <c r="K8" s="18">
        <f>K6*K7</f>
        <v>345885470.4710658</v>
      </c>
    </row>
    <row r="9" spans="1:11" x14ac:dyDescent="0.25">
      <c r="A9" t="s">
        <v>52</v>
      </c>
      <c r="B9" s="18">
        <f>B8*(1-Assumptions!B8)</f>
        <v>295418033.8700768</v>
      </c>
      <c r="C9" s="18">
        <f>C8*(1-Assumptions!B8)</f>
        <v>297852597.08996993</v>
      </c>
      <c r="D9" s="18">
        <f>D8*(1-Assumptions!B8)</f>
        <v>300931184.7716547</v>
      </c>
      <c r="E9" s="18">
        <f>E8*(1-Assumptions!B8)</f>
        <v>304672002.82359344</v>
      </c>
      <c r="F9" s="18">
        <f>F8*(1-Assumptions!B8)</f>
        <v>309097569.04060566</v>
      </c>
      <c r="G9" s="18">
        <f>G8*(1-Assumptions!B8)</f>
        <v>314234937.32544017</v>
      </c>
      <c r="H9" s="18">
        <f>H8*(1-Assumptions!B8)</f>
        <v>320115971.27084595</v>
      </c>
      <c r="I9" s="18">
        <f>I8*(1-Assumptions!B8)</f>
        <v>326777670.9476348</v>
      </c>
      <c r="J9" s="18">
        <f>J8*(1-Assumptions!B8)</f>
        <v>334262557.55612725</v>
      </c>
      <c r="K9" s="18">
        <f>K8*(1-Assumptions!B8)</f>
        <v>342619121.49503034</v>
      </c>
    </row>
    <row r="10" spans="1:11" x14ac:dyDescent="0.25">
      <c r="A10" t="s">
        <v>53</v>
      </c>
      <c r="B10" s="18">
        <f>B6*Assumptions!B9</f>
        <v>598022272.5363227</v>
      </c>
      <c r="C10" s="18">
        <f>C6*Assumptions!B9</f>
        <v>602950621.0542543</v>
      </c>
      <c r="D10" s="18">
        <f>D6*Assumptions!B9</f>
        <v>609182684.7420559</v>
      </c>
      <c r="E10" s="18">
        <f>E6*Assumptions!B9</f>
        <v>616755318.2853051</v>
      </c>
      <c r="F10" s="18">
        <f>F6*Assumptions!B9</f>
        <v>625714105.0312816</v>
      </c>
      <c r="G10" s="18">
        <f>G6*Assumptions!B9</f>
        <v>636113810.886422</v>
      </c>
      <c r="H10" s="18">
        <f>H6*Assumptions!B9</f>
        <v>648018938.1354972</v>
      </c>
      <c r="I10" s="18">
        <f>I6*Assumptions!B9</f>
        <v>661504386.9670328</v>
      </c>
      <c r="J10" s="18">
        <f>J6*Assumptions!B9</f>
        <v>676656234.1330588</v>
      </c>
      <c r="K10" s="18">
        <f>K6*Assumptions!B9</f>
        <v>693572639.9863852</v>
      </c>
    </row>
    <row r="11" spans="1:11" x14ac:dyDescent="0.25">
      <c r="A11" t="s">
        <v>54</v>
      </c>
      <c r="B11" s="18">
        <f>-B6*B19</f>
        <v>-432852967.00198776</v>
      </c>
      <c r="C11" s="18">
        <f>-C6*C19</f>
        <v>-465142073.82948184</v>
      </c>
      <c r="D11" s="18">
        <f>-D6*D19</f>
        <v>-498968555.92559505</v>
      </c>
      <c r="E11" s="18">
        <f>-E6*E19</f>
        <v>-534550665.646862</v>
      </c>
      <c r="F11" s="18">
        <f>-F6*F19</f>
        <v>-572121658.7855612</v>
      </c>
      <c r="G11" s="18">
        <f>-G6*G19</f>
        <v>-611932310.1889321</v>
      </c>
      <c r="H11" s="18">
        <f>-H6*H19</f>
        <v>-654253659.9916214</v>
      </c>
      <c r="I11" s="18">
        <f>-I6*I19</f>
        <v>-699380032.0104398</v>
      </c>
      <c r="J11" s="18">
        <f>-J6*J19</f>
        <v>-747632370.6330261</v>
      </c>
      <c r="K11" s="18">
        <f>-K6*K19</f>
        <v>-799361948.2168963</v>
      </c>
    </row>
    <row r="12" spans="1:11" x14ac:dyDescent="0.25">
      <c r="A12" t="s">
        <v>55</v>
      </c>
      <c r="B12" s="18">
        <f>-(B6-Assumptions!B29)*Assumptions!B11</f>
        <v>-3295000.345640556</v>
      </c>
      <c r="C12" s="18">
        <f>-(C6-B6)*Assumptions!B11</f>
        <v>1761125.0114717763</v>
      </c>
      <c r="D12" s="18">
        <f>-(D6-C6)*Assumptions!B11</f>
        <v>2227002.249077759</v>
      </c>
      <c r="E12" s="18">
        <f>-(E6-D6)*Assumptions!B11</f>
        <v>2706049.356534479</v>
      </c>
      <c r="F12" s="18">
        <f>-(F6-E6)*Assumptions!B11</f>
        <v>3201385.485092037</v>
      </c>
      <c r="G12" s="18">
        <f>-(G6-F6)*Assumptions!B11</f>
        <v>3716291.9843835128</v>
      </c>
      <c r="H12" s="18">
        <f>-(H6-G6)*Assumptions!B11</f>
        <v>4254248.109040004</v>
      </c>
      <c r="I12" s="18">
        <f>-(I6-H6)*Assumptions!B11</f>
        <v>4818969.5070729405</v>
      </c>
      <c r="J12" s="18">
        <f>-(J6-I6)*Assumptions!B11</f>
        <v>5414450.077342693</v>
      </c>
      <c r="K12" s="18">
        <f>-(K6-J6)*Assumptions!B11</f>
        <v>6045007.844738311</v>
      </c>
    </row>
    <row r="13" spans="1:11" x14ac:dyDescent="0.25">
      <c r="A13" s="19" t="s">
        <v>56</v>
      </c>
      <c r="B13" s="20">
        <f>B9+B10+B11+B12</f>
        <v>457292339.0587712</v>
      </c>
      <c r="C13" s="20">
        <f>C9+C10+C11+C12</f>
        <v>437422269.3262141</v>
      </c>
      <c r="D13" s="20">
        <f>D9+D10+D11+D12</f>
        <v>413372315.8371933</v>
      </c>
      <c r="E13" s="20">
        <f>E9+E10+E11+E12</f>
        <v>389582704.81857115</v>
      </c>
      <c r="F13" s="20">
        <f>F9+F10+F11+F12</f>
        <v>365891400.7714181</v>
      </c>
      <c r="G13" s="20">
        <f>G9+G10+G11+G12</f>
        <v>342132730.00731367</v>
      </c>
      <c r="H13" s="20">
        <f>H9+H10+H11+H12</f>
        <v>318135497.52376187</v>
      </c>
      <c r="I13" s="20">
        <f>I9+I10+I11+I12</f>
        <v>293720995.4113008</v>
      </c>
      <c r="J13" s="20">
        <f>J9+J10+J11+J12</f>
        <v>268700871.13350266</v>
      </c>
      <c r="K13" s="20">
        <f>K9+K10+K11+K12</f>
        <v>242874821.10925752</v>
      </c>
    </row>
    <row r="14" spans="1:11" x14ac:dyDescent="0.25">
      <c r="A14" t="s">
        <v>57</v>
      </c>
      <c r="B14" s="21">
        <f>1/(1+Assumptions!$B$26)^(1-0.5*Assumptions!$B$32)</f>
        <v>0.9618198047622242</v>
      </c>
      <c r="C14" s="21">
        <f>1/(1+Assumptions!$B$26)^(2-0.5*Assumptions!$B$32)</f>
        <v>0.8897769398986185</v>
      </c>
      <c r="D14" s="21">
        <f>1/(1+Assumptions!$B$26)^(3-0.5*Assumptions!$B$32)</f>
        <v>0.8231302774754885</v>
      </c>
      <c r="E14" s="21">
        <f>1/(1+Assumptions!$B$26)^(4-0.5*Assumptions!$B$32)</f>
        <v>0.7614756275590535</v>
      </c>
      <c r="F14" s="21">
        <f>1/(1+Assumptions!$B$26)^(5-0.5*Assumptions!$B$32)</f>
        <v>0.7044390751179982</v>
      </c>
      <c r="G14" s="21">
        <f>1/(1+Assumptions!$B$26)^(6-0.5*Assumptions!$B$32)</f>
        <v>0.6516747123526511</v>
      </c>
      <c r="H14" s="21">
        <f>1/(1+Assumptions!$B$26)^(7-0.5*Assumptions!$B$32)</f>
        <v>0.6028625408787465</v>
      </c>
      <c r="I14" s="21">
        <f>1/(1+Assumptions!$B$26)^(8-0.5*Assumptions!$B$32)</f>
        <v>0.5577065310432093</v>
      </c>
      <c r="J14" s="21">
        <f>1/(1+Assumptions!$B$26)^(9-0.5*Assumptions!$B$32)</f>
        <v>0.5159328266023562</v>
      </c>
      <c r="K14" s="21">
        <f>1/(1+Assumptions!$B$26)^(10-0.5*Assumptions!$B$32)</f>
        <v>0.47728808387448063</v>
      </c>
    </row>
    <row r="15" spans="1:11" x14ac:dyDescent="0.25">
      <c r="A15" s="19" t="s">
        <v>58</v>
      </c>
      <c r="B15" s="20">
        <f>B13*B14</f>
        <v>439832828.27276814</v>
      </c>
      <c r="C15" s="20">
        <f>C13*C14</f>
        <v>389208248.2445881</v>
      </c>
      <c r="D15" s="20">
        <f>D13*D14</f>
        <v>340259269.0357542</v>
      </c>
      <c r="E15" s="20">
        <f>E13*E14</f>
        <v>296657734.63787496</v>
      </c>
      <c r="F15" s="20">
        <f>F13*F14</f>
        <v>257748199.95304656</v>
      </c>
      <c r="G15" s="20">
        <f>G13*G14</f>
        <v>222959248.41394335</v>
      </c>
      <c r="H15" s="20">
        <f>H13*H14</f>
        <v>191791974.38089922</v>
      </c>
      <c r="I15" s="20">
        <f>I13*I14</f>
        <v>163810117.44539496</v>
      </c>
      <c r="J15" s="20">
        <f>J13*J14</f>
        <v>138631599.9544235</v>
      </c>
      <c r="K15" s="20">
        <f>K13*K14</f>
        <v>115921257.98859479</v>
      </c>
    </row>
    <row r="17" spans="1:2" x14ac:dyDescent="0.25">
      <c r="A17" s="22" t="s">
        <v>59</v>
      </c>
      <c r="B17" s="23">
        <f>SUM(B15:K15)</f>
        <v>2556820478.3272877</v>
      </c>
    </row>
    <row r="19" spans="1:11" x14ac:dyDescent="0.25">
      <c r="A19" t="s">
        <v>7</v>
      </c>
      <c r="B19" s="9">
        <f>Assumptions!$B$10+($B$20-Assumptions!$B$10)*0/9</f>
        <v>0.2793229939784014</v>
      </c>
      <c r="C19" s="9">
        <f>Assumptions!$B$10+($B$20-Assumptions!$B$10)*1/9</f>
        <v>0.29770595830562085</v>
      </c>
      <c r="D19" s="9">
        <f>Assumptions!$B$10+($B$20-Assumptions!$B$10)*2/9</f>
        <v>0.31608892263284033</v>
      </c>
      <c r="E19" s="9">
        <f>Assumptions!$B$10+($B$20-Assumptions!$B$10)*3/9</f>
        <v>0.33447188696005986</v>
      </c>
      <c r="F19" s="9">
        <f>Assumptions!$B$10+($B$20-Assumptions!$B$10)*4/9</f>
        <v>0.35285485128727934</v>
      </c>
      <c r="G19" s="9">
        <f>Assumptions!$B$10+($B$20-Assumptions!$B$10)*5/9</f>
        <v>0.3712378156144988</v>
      </c>
      <c r="H19" s="9">
        <f>Assumptions!$B$10+($B$20-Assumptions!$B$10)*6/9</f>
        <v>0.3896207799417183</v>
      </c>
      <c r="I19" s="9">
        <f>Assumptions!$B$10+($B$20-Assumptions!$B$10)*7/9</f>
        <v>0.4080037442689378</v>
      </c>
      <c r="J19" s="9">
        <f>Assumptions!$B$10+($B$20-Assumptions!$B$10)*8/9</f>
        <v>0.42638670859615724</v>
      </c>
      <c r="K19" s="9">
        <f>Assumptions!$B$10+($B$20-Assumptions!$B$10)*9/9</f>
        <v>0.44476967292337677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0.44476967292337677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242874821.10925752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342619121.49503034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0.30876650365833574</v>
      </c>
    </row>
    <row r="7" spans="1:2" x14ac:dyDescent="0.25">
      <c r="A7" t="s">
        <v>66</v>
      </c>
      <c r="B7" s="18">
        <f>-MAX(B5,0)*B6</f>
        <v>-105789308.23051107</v>
      </c>
    </row>
    <row r="8" spans="1:2" x14ac:dyDescent="0.25">
      <c r="A8" t="s">
        <v>67</v>
      </c>
      <c r="B8" s="18">
        <f>IF(OR(Assumptions!$B$33=0,Assumptions!B12&lt;=0),B5,MAX(B5+B7,0))</f>
        <v>236829813.26451927</v>
      </c>
    </row>
    <row r="9" spans="1:2" x14ac:dyDescent="0.25">
      <c r="A9" t="s">
        <v>68</v>
      </c>
      <c r="B9" s="18">
        <f>B8*(1+Assumptions!B12)/(Assumptions!B26-Assumptions!B12)</f>
        <v>4337361637.4509535</v>
      </c>
    </row>
    <row r="10" spans="1:2" x14ac:dyDescent="0.25">
      <c r="A10" t="s">
        <v>69</v>
      </c>
      <c r="B10" s="18">
        <f>B9/(1+Assumptions!B26)^(10-0.5*Assumptions!B32)</f>
        <v>2070171025.0096452</v>
      </c>
    </row>
    <row r="11" spans="1:2" x14ac:dyDescent="0.25">
      <c r="A11" t="s">
        <v>70</v>
      </c>
      <c r="B11" s="18">
        <f>Forecast!B17+B10</f>
        <v>4626991503.336933</v>
      </c>
    </row>
    <row r="12" spans="1:2" x14ac:dyDescent="0.25">
      <c r="A12" t="s">
        <v>71</v>
      </c>
      <c r="B12" s="18">
        <f>-Assumptions!B30</f>
        <v>-3875587000</v>
      </c>
    </row>
    <row r="13" spans="1:2" x14ac:dyDescent="0.25">
      <c r="A13" t="s">
        <v>72</v>
      </c>
      <c r="B13" s="18">
        <f>B11+B12</f>
        <v>751404503.3369331</v>
      </c>
    </row>
    <row r="14" spans="1:2" x14ac:dyDescent="0.25">
      <c r="A14" s="19" t="s">
        <v>73</v>
      </c>
      <c r="B14" s="24">
        <f>B13/Assumptions!B31</f>
        <v>6.929602369523702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1039458110.4574511</v>
      </c>
    </row>
    <row r="18" spans="1:2" x14ac:dyDescent="0.25">
      <c r="A18" t="s">
        <v>68</v>
      </c>
      <c r="B18" s="18">
        <f>B17*Assumptions!B13</f>
        <v>17936301838.292896</v>
      </c>
    </row>
    <row r="19" spans="1:2" x14ac:dyDescent="0.25">
      <c r="A19" t="s">
        <v>69</v>
      </c>
      <c r="B19" s="18">
        <f>B18/(1+Assumptions!B26)^(10-0.5*Assumptions!B32)</f>
        <v>8560783136.193141</v>
      </c>
    </row>
    <row r="20" spans="1:2" x14ac:dyDescent="0.25">
      <c r="A20" t="s">
        <v>70</v>
      </c>
      <c r="B20" s="18">
        <f>Forecast!B17+B19</f>
        <v>11117603614.520428</v>
      </c>
    </row>
    <row r="21" spans="1:2" x14ac:dyDescent="0.25">
      <c r="A21" t="s">
        <v>71</v>
      </c>
      <c r="B21" s="18">
        <f>-Assumptions!B30</f>
        <v>-3875587000</v>
      </c>
    </row>
    <row r="22" spans="1:2" x14ac:dyDescent="0.25">
      <c r="A22" t="s">
        <v>72</v>
      </c>
      <c r="B22" s="18">
        <f>B20+B21</f>
        <v>7242016614.520428</v>
      </c>
    </row>
    <row r="23" spans="1:2" x14ac:dyDescent="0.25">
      <c r="A23" s="19" t="s">
        <v>73</v>
      </c>
      <c r="B23" s="25">
        <f>B22/Assumptions!B31</f>
        <v>66.78732329823144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100.69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6.929602369523702</v>
      </c>
    </row>
    <row r="29" spans="1:2" x14ac:dyDescent="0.25">
      <c r="A29" s="19" t="s">
        <v>81</v>
      </c>
      <c r="B29" s="11">
        <f>B28/B26-1</f>
        <v>-0.9311788422929417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0.060967</v>
      </c>
      <c r="B5" s="31">
        <v>20.23560189260994</v>
      </c>
      <c r="C5" s="31">
        <v>19.56259420617827</v>
      </c>
      <c r="D5" s="31">
        <v>18.889586519746622</v>
      </c>
      <c r="E5" s="31">
        <v>18.216578833314962</v>
      </c>
      <c r="F5" s="31">
        <v>17.543571146883288</v>
      </c>
    </row>
    <row r="6" spans="1:6" x14ac:dyDescent="0.25">
      <c r="A6" s="30">
        <v>0.070967</v>
      </c>
      <c r="B6" s="31">
        <v>13.180485460757074</v>
      </c>
      <c r="C6" s="31">
        <v>12.633863498182842</v>
      </c>
      <c r="D6" s="31">
        <v>12.08724153560861</v>
      </c>
      <c r="E6" s="31">
        <v>11.540619573034377</v>
      </c>
      <c r="F6" s="31">
        <v>10.993997610460136</v>
      </c>
    </row>
    <row r="7" spans="1:6" x14ac:dyDescent="0.25">
      <c r="A7" s="30">
        <v>0.080967</v>
      </c>
      <c r="B7" s="31">
        <v>7.836478403898396</v>
      </c>
      <c r="C7" s="31">
        <v>7.383115696444603</v>
      </c>
      <c r="D7" s="32">
        <v>6.929752988990794</v>
      </c>
      <c r="E7" s="31">
        <v>6.47639028153701</v>
      </c>
      <c r="F7" s="31">
        <v>6.023027574083192</v>
      </c>
    </row>
    <row r="8" spans="1:6" x14ac:dyDescent="0.25">
      <c r="A8" s="30">
        <v>0.090967</v>
      </c>
      <c r="B8" s="31">
        <v>3.64141017132515</v>
      </c>
      <c r="C8" s="31">
        <v>3.259241769066093</v>
      </c>
      <c r="D8" s="31">
        <v>2.877073366807036</v>
      </c>
      <c r="E8" s="31">
        <v>2.4949049645479704</v>
      </c>
      <c r="F8" s="31">
        <v>2.112736562288913</v>
      </c>
    </row>
    <row r="9" spans="1:6" x14ac:dyDescent="0.25">
      <c r="A9" s="30">
        <v>0.100967</v>
      </c>
      <c r="B9" s="31">
        <v>0.25565205318274253</v>
      </c>
      <c r="C9" s="31">
        <v>-0.07071888711477682</v>
      </c>
      <c r="D9" s="31">
        <v>-0.3970898274122962</v>
      </c>
      <c r="E9" s="31">
        <v>-0.7234607677098155</v>
      </c>
      <c r="F9" s="31">
        <v>-1.049831708007335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1573544000</v>
      </c>
      <c r="C5" s="18">
        <v>1543842000</v>
      </c>
      <c r="D5" s="18">
        <v>1542027000</v>
      </c>
      <c r="E5" s="18">
        <v>1422756000</v>
      </c>
      <c r="F5" s="6" t="s">
        <v>91</v>
      </c>
    </row>
    <row r="6" spans="1:6" x14ac:dyDescent="0.25">
      <c r="A6" t="s">
        <v>51</v>
      </c>
      <c r="B6" s="18">
        <v>288906000</v>
      </c>
      <c r="C6" s="18">
        <v>297264000</v>
      </c>
      <c r="D6" s="18">
        <v>323816000</v>
      </c>
      <c r="E6" s="18">
        <v>261313000</v>
      </c>
      <c r="F6" s="6" t="s">
        <v>92</v>
      </c>
    </row>
    <row r="7" spans="1:6" x14ac:dyDescent="0.25">
      <c r="A7" t="s">
        <v>93</v>
      </c>
      <c r="B7" s="18">
        <v>611025000</v>
      </c>
      <c r="C7" s="18">
        <v>582014000</v>
      </c>
      <c r="D7" s="18">
        <v>574813000</v>
      </c>
      <c r="E7" s="18">
        <v>577020000</v>
      </c>
      <c r="F7" s="6" t="s">
        <v>94</v>
      </c>
    </row>
    <row r="8" spans="1:6" x14ac:dyDescent="0.25">
      <c r="A8" t="s">
        <v>95</v>
      </c>
      <c r="B8" s="18">
        <v>440402000</v>
      </c>
      <c r="C8" s="18">
        <v>393735000</v>
      </c>
      <c r="D8" s="18">
        <v>410934000</v>
      </c>
      <c r="E8" s="18">
        <v>449431000</v>
      </c>
      <c r="F8" s="6" t="s">
        <v>96</v>
      </c>
    </row>
    <row r="9" spans="1:6" x14ac:dyDescent="0.25">
      <c r="A9" t="s">
        <v>97</v>
      </c>
      <c r="B9" s="18">
        <v>-51733000</v>
      </c>
      <c r="C9" s="18">
        <v>-8754000</v>
      </c>
      <c r="D9" s="18">
        <v>-17975000</v>
      </c>
      <c r="E9" s="18">
        <v>-3913000</v>
      </c>
      <c r="F9" s="6" t="s">
        <v>98</v>
      </c>
    </row>
    <row r="10" spans="1:6" x14ac:dyDescent="0.25">
      <c r="A10" t="s">
        <v>99</v>
      </c>
      <c r="B10" s="18">
        <v>3900790000</v>
      </c>
      <c r="C10" s="18">
        <v>3485591000</v>
      </c>
      <c r="D10" s="18">
        <v>3715436000</v>
      </c>
      <c r="E10" s="18">
        <v>3680900000</v>
      </c>
      <c r="F10" s="6" t="s">
        <v>100</v>
      </c>
    </row>
    <row r="11" spans="1:6" x14ac:dyDescent="0.25">
      <c r="A11" t="s">
        <v>101</v>
      </c>
      <c r="B11" s="18">
        <v>25203000</v>
      </c>
      <c r="C11" s="18">
        <v>21045000</v>
      </c>
      <c r="D11" s="18">
        <v>259686000</v>
      </c>
      <c r="E11" s="18">
        <v>10687000</v>
      </c>
      <c r="F11" s="6" t="s">
        <v>102</v>
      </c>
    </row>
    <row r="12" spans="1:6" x14ac:dyDescent="0.25">
      <c r="A12" t="s">
        <v>34</v>
      </c>
      <c r="B12" s="34">
        <v>108434000</v>
      </c>
      <c r="C12" s="34">
        <v>108539000</v>
      </c>
      <c r="D12" s="34">
        <v>109399000</v>
      </c>
      <c r="E12" s="34">
        <v>108388000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