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<sst xmlns="http://schemas.openxmlformats.org/spreadsheetml/2006/main" count="111" uniqueCount="99">
  <si>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Camden Property Trust (CPT)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</si>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</sst>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0.03414829875709913</v>
      </c>
    </row>
    <row r="7" spans="1:2" x14ac:dyDescent="0.25">
      <c r="A7" t="s">
        <v>5</v>
      </c>
      <c r="B7" s="6">
        <v>0.1924527029508064</v>
      </c>
    </row>
    <row r="8" spans="1:2" x14ac:dyDescent="0.25">
      <c r="A8" t="s">
        <v>6</v>
      </c>
      <c r="B8" s="6">
        <v>0.009443440834872207</v>
      </c>
    </row>
    <row r="9" spans="1:2" x14ac:dyDescent="0.25">
      <c r="A9" t="s">
        <v>7</v>
      </c>
      <c r="B9" s="6">
        <v>0.3859078818093121</v>
      </c>
    </row>
    <row r="10" spans="1:2" x14ac:dyDescent="0.25">
      <c r="A10" t="s">
        <v>8</v>
      </c>
      <c r="B10" s="6">
        <v>0.2793229939784014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17.0535299350728</v>
      </c>
    </row>
    <row r="14" spans="1:3" x14ac:dyDescent="0.25">
      <c r="A14" t="s">
        <v>12</v>
      </c>
      <c r="B14" s="6">
        <v>0.0849088458324006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0.85394</v>
      </c>
      <c r="C19" s="8" t="s">
        <v>19</v>
      </c>
    </row>
    <row r="20" spans="1:2" x14ac:dyDescent="0.25">
      <c r="A20" t="s">
        <v>20</v>
      </c>
      <c r="B20" s="10">
        <f>B17+B19*B18</f>
        <v>0.0969467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11471413248</v>
      </c>
    </row>
    <row r="23" spans="1:2" x14ac:dyDescent="0.25">
      <c r="A23" t="s">
        <v>24</v>
      </c>
      <c r="B23" s="11">
        <v>3900790000</v>
      </c>
    </row>
    <row r="24" spans="1:2" x14ac:dyDescent="0.25">
      <c r="A24" t="s">
        <v>25</v>
      </c>
      <c r="B24" s="10">
        <f>B22/(B22+B23)</f>
        <v>0.7462439224183747</v>
      </c>
    </row>
    <row r="25" spans="1:2" x14ac:dyDescent="0.25">
      <c r="A25" t="s">
        <v>26</v>
      </c>
      <c r="B25" s="10">
        <f>1-B24</f>
        <v>0.25375607758162533</v>
      </c>
    </row>
    <row r="26" spans="1:2" x14ac:dyDescent="0.25">
      <c r="A26" t="s">
        <v>27</v>
      </c>
      <c r="B26" s="12">
        <f>B24*B20+B25*B21*(1-B8)</f>
        <v>0.0849088458324006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1573544000</v>
      </c>
      <c r="C29" s="8" t="s">
        <v>30</v>
      </c>
    </row>
    <row r="30" spans="1:2" x14ac:dyDescent="0.25">
      <c r="A30" t="s">
        <v>31</v>
      </c>
      <c r="B30" s="11">
        <v>3875587000</v>
      </c>
    </row>
    <row r="31" spans="1:2" x14ac:dyDescent="0.25">
      <c r="A31" t="s">
        <v>32</v>
      </c>
      <c r="B31" s="13">
        <v>108434000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0.03414829875709913</v>
      </c>
      <c r="C5" s="10">
        <f>Assumptions!B6</f>
        <v>0.03414829875709913</v>
      </c>
      <c r="D5" s="10">
        <f>Assumptions!B6</f>
        <v>0.03414829875709913</v>
      </c>
      <c r="E5" s="10">
        <f>Assumptions!B6</f>
        <v>0.03414829875709913</v>
      </c>
      <c r="F5" s="10">
        <f>Assumptions!B6</f>
        <v>0.03414829875709913</v>
      </c>
    </row>
    <row r="6" spans="1:6" x14ac:dyDescent="0.25">
      <c r="A6" t="s">
        <v>43</v>
      </c>
      <c r="B6" s="18">
        <f>Assumptions!B29*(1+B5)</f>
        <v>1627277850.6194408</v>
      </c>
      <c r="C6" s="18">
        <f>B6*(1+C5)</f>
        <v>1682846620.8232036</v>
      </c>
      <c r="D6" s="18">
        <f>C6*(1+D5)</f>
        <v>1740312969.993449</v>
      </c>
      <c r="E6" s="18">
        <f>D6*(1+E5)</f>
        <v>1799741697.2236397</v>
      </c>
      <c r="F6" s="18">
        <f>E6*(1+F5)</f>
        <v>1861199814.3860412</v>
      </c>
    </row>
    <row r="7" spans="1:6" x14ac:dyDescent="0.25">
      <c r="A7" t="s">
        <v>5</v>
      </c>
      <c r="B7" s="10">
        <f>Assumptions!B7</f>
        <v>0.1924527029508064</v>
      </c>
      <c r="C7" s="10">
        <f>Assumptions!B7</f>
        <v>0.1924527029508064</v>
      </c>
      <c r="D7" s="10">
        <f>Assumptions!B7</f>
        <v>0.1924527029508064</v>
      </c>
      <c r="E7" s="10">
        <f>Assumptions!B7</f>
        <v>0.1924527029508064</v>
      </c>
      <c r="F7" s="10">
        <f>Assumptions!B7</f>
        <v>0.1924527029508064</v>
      </c>
    </row>
    <row r="8" spans="1:6" x14ac:dyDescent="0.25">
      <c r="A8" t="s">
        <v>44</v>
      </c>
      <c r="B8" s="18">
        <f>B6*B7</f>
        <v>313174020.80368996</v>
      </c>
      <c r="C8" s="18">
        <f>C6*C7</f>
        <v>323868380.8290563</v>
      </c>
      <c r="D8" s="18">
        <f>D6*D7</f>
        <v>334927935.0555849</v>
      </c>
      <c r="E8" s="18">
        <f>E6*E7</f>
        <v>346365154.2439613</v>
      </c>
      <c r="F8" s="18">
        <f>F6*F7</f>
        <v>358192935.0101328</v>
      </c>
    </row>
    <row r="9" spans="1:6" x14ac:dyDescent="0.25">
      <c r="A9" t="s">
        <v>45</v>
      </c>
      <c r="B9" s="18">
        <f>B8*(1-Assumptions!B8)</f>
        <v>310216580.46721125</v>
      </c>
      <c r="C9" s="18">
        <f>C8*(1-Assumptions!B8)</f>
        <v>320809948.93641126</v>
      </c>
      <c r="D9" s="18">
        <f>D8*(1-Assumptions!B8)</f>
        <v>331765062.9169416</v>
      </c>
      <c r="E9" s="18">
        <f>E8*(1-Assumptions!B8)</f>
        <v>343094275.402597</v>
      </c>
      <c r="F9" s="18">
        <f>F8*(1-Assumptions!B8)</f>
        <v>354810361.22089535</v>
      </c>
    </row>
    <row r="10" spans="1:6" x14ac:dyDescent="0.25">
      <c r="A10" t="s">
        <v>46</v>
      </c>
      <c r="B10" s="18">
        <f>B6*Assumptions!B9</f>
        <v>627979348.4477587</v>
      </c>
      <c r="C10" s="18">
        <f>C6*Assumptions!B9</f>
        <v>649423774.8518411</v>
      </c>
      <c r="D10" s="18">
        <f>D6*Assumptions!B9</f>
        <v>671600491.9354448</v>
      </c>
      <c r="E10" s="18">
        <f>E6*Assumptions!B9</f>
        <v>694534506.1794711</v>
      </c>
      <c r="F10" s="18">
        <f>F6*Assumptions!B9</f>
        <v>718251677.993602</v>
      </c>
    </row>
    <row r="11" spans="1:6" x14ac:dyDescent="0.25">
      <c r="A11" t="s">
        <v>47</v>
      </c>
      <c r="B11" s="18">
        <f>-B6*Assumptions!B10</f>
        <v>-454536121.26976</v>
      </c>
      <c r="C11" s="18">
        <f>-C6*Assumptions!B10</f>
        <v>-470057756.5347728</v>
      </c>
      <c r="D11" s="18">
        <f>-D6*Assumptions!B10</f>
        <v>-486109429.238014</v>
      </c>
      <c r="E11" s="18">
        <f>-E6*Assumptions!B10</f>
        <v>-502709239.2562766</v>
      </c>
      <c r="F11" s="18">
        <f>-F6*Assumptions!B10</f>
        <v>-519875904.54635394</v>
      </c>
    </row>
    <row r="12" spans="1:6" x14ac:dyDescent="0.25">
      <c r="A12" t="s">
        <v>48</v>
      </c>
      <c r="B12" s="18">
        <f>-(B6-Assumptions!B29)*Assumptions!B11</f>
        <v>53733850.619440794</v>
      </c>
      <c r="C12" s="18">
        <f>-(C6-B6)*Assumptions!B11</f>
        <v>55568770.20376277</v>
      </c>
      <c r="D12" s="18">
        <f>-(D6-C6)*Assumptions!B11</f>
        <v>57466349.17024541</v>
      </c>
      <c r="E12" s="18">
        <f>-(E6-D6)*Assumptions!B11</f>
        <v>59428727.230190754</v>
      </c>
      <c r="F12" s="18">
        <f>-(F6-E6)*Assumptions!B11</f>
        <v>61458117.16240144</v>
      </c>
    </row>
    <row r="13" spans="1:6" x14ac:dyDescent="0.25">
      <c r="A13" s="19" t="s">
        <v>49</v>
      </c>
      <c r="B13" s="20">
        <f>B9+B10+B11+B12</f>
        <v>537393658.2646507</v>
      </c>
      <c r="C13" s="20">
        <f>C9+C10+C11+C12</f>
        <v>555744737.4572423</v>
      </c>
      <c r="D13" s="20">
        <f>D9+D10+D11+D12</f>
        <v>574722474.7846179</v>
      </c>
      <c r="E13" s="20">
        <f>E9+E10+E11+E12</f>
        <v>594348269.5559824</v>
      </c>
      <c r="F13" s="20">
        <f>F9+F10+F11+F12</f>
        <v>614644251.8305448</v>
      </c>
    </row>
    <row r="14" spans="1:6" x14ac:dyDescent="0.25">
      <c r="A14" t="s">
        <v>50</v>
      </c>
      <c r="B14" s="21">
        <f>1/(1+Assumptions!$B$26)^(1-0.5*Assumptions!$B$32)</f>
        <v>0.9600710515740439</v>
      </c>
      <c r="C14" s="21">
        <f>1/(1+Assumptions!$B$26)^(2-0.5*Assumptions!$B$32)</f>
        <v>0.8849324579314548</v>
      </c>
      <c r="D14" s="21">
        <f>1/(1+Assumptions!$B$26)^(3-0.5*Assumptions!$B$32)</f>
        <v>0.8156744793176489</v>
      </c>
      <c r="E14" s="21">
        <f>1/(1+Assumptions!$B$26)^(4-0.5*Assumptions!$B$32)</f>
        <v>0.7518368777718091</v>
      </c>
      <c r="F14" s="21">
        <f>1/(1+Assumptions!$B$26)^(5-0.5*Assumptions!$B$32)</f>
        <v>0.6929954352017097</v>
      </c>
    </row>
    <row r="15" spans="1:6" x14ac:dyDescent="0.25">
      <c r="A15" s="19" t="s">
        <v>51</v>
      </c>
      <c r="B15" s="20">
        <f>B13*B14</f>
        <v>515936094.5993656</v>
      </c>
      <c r="C15" s="20">
        <f>C13*C14</f>
        <v>491796556.5005084</v>
      </c>
      <c r="D15" s="20">
        <f>D13*D14</f>
        <v>468786455.3720938</v>
      </c>
      <c r="E15" s="20">
        <f>E13*E14</f>
        <v>446852947.2920473</v>
      </c>
      <c r="F15" s="20">
        <f>F13*F14</f>
        <v>425945660.79153764</v>
      </c>
    </row>
    <row r="17" spans="1:2" x14ac:dyDescent="0.25">
      <c r="A17" s="22" t="s">
        <v>52</v>
      </c>
      <c r="B17" s="23">
        <f>SUM(B15:F15)</f>
        <v>2349317714.5555525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614644251.8305448</v>
      </c>
    </row>
    <row r="5" spans="1:2" x14ac:dyDescent="0.25">
      <c r="A5" t="s">
        <v>56</v>
      </c>
      <c r="B5" s="18">
        <f>IF(Assumptions!$B$33=0,B4,B4-Forecast!F11-Forecast!F10-Forecast!F12)</f>
        <v>354810361.22089535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0.2944333980154066</v>
      </c>
    </row>
    <row r="7" spans="1:2" x14ac:dyDescent="0.25">
      <c r="A7" t="s">
        <v>58</v>
      </c>
      <c r="B7" s="18">
        <f>-MAX(Forecast!F9,0)*B6</f>
        <v>-104468020.30534206</v>
      </c>
    </row>
    <row r="8" spans="1:2" x14ac:dyDescent="0.25">
      <c r="A8" t="s">
        <v>59</v>
      </c>
      <c r="B8" s="18">
        <f>IF(OR(Assumptions!$B$33=0,Assumptions!B12&lt;=0),B5,MAX(B5+B7,0))</f>
        <v>250342340.91555327</v>
      </c>
    </row>
    <row r="9" spans="1:2" x14ac:dyDescent="0.25">
      <c r="A9" t="s">
        <v>60</v>
      </c>
      <c r="B9" s="18">
        <f>B8*(1+Assumptions!B12)/(Assumptions!B26-Assumptions!B12)</f>
        <v>4283188832.519023</v>
      </c>
    </row>
    <row r="10" spans="1:2" x14ac:dyDescent="0.25">
      <c r="A10" t="s">
        <v>61</v>
      </c>
      <c r="B10" s="18">
        <f>B9/(1+Assumptions!B26)^(5-0.5*Assumptions!B32)</f>
        <v>2968230309.042623</v>
      </c>
    </row>
    <row r="11" spans="1:2" x14ac:dyDescent="0.25">
      <c r="A11" t="s">
        <v>62</v>
      </c>
      <c r="B11" s="18">
        <f>Forecast!B17+B10</f>
        <v>5317548023.598175</v>
      </c>
    </row>
    <row r="12" spans="1:2" x14ac:dyDescent="0.25">
      <c r="A12" t="s">
        <v>63</v>
      </c>
      <c r="B12" s="18">
        <f>-Assumptions!B30</f>
        <v>-3875587000</v>
      </c>
    </row>
    <row r="13" spans="1:2" x14ac:dyDescent="0.25">
      <c r="A13" t="s">
        <v>64</v>
      </c>
      <c r="B13" s="18">
        <f>B11+B12</f>
        <v>1441961023.598175</v>
      </c>
    </row>
    <row r="14" spans="1:2" x14ac:dyDescent="0.25">
      <c r="A14" s="19" t="s">
        <v>65</v>
      </c>
      <c r="B14" s="24">
        <f>B13/Assumptions!B31</f>
        <v>13.298052489054863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1076444613.0037348</v>
      </c>
    </row>
    <row r="18" spans="1:2" x14ac:dyDescent="0.25">
      <c r="A18" t="s">
        <v>60</v>
      </c>
      <c r="B18" s="18">
        <f>B17*Assumptions!B13</f>
        <v>18357180431.307045</v>
      </c>
    </row>
    <row r="19" spans="1:2" x14ac:dyDescent="0.25">
      <c r="A19" t="s">
        <v>61</v>
      </c>
      <c r="B19" s="18">
        <f>B18/(1+Assumptions!B26)^(5-0.5*Assumptions!B32)</f>
        <v>12721442242.069935</v>
      </c>
    </row>
    <row r="20" spans="1:2" x14ac:dyDescent="0.25">
      <c r="A20" t="s">
        <v>62</v>
      </c>
      <c r="B20" s="18">
        <f>Forecast!B17+B19</f>
        <v>15070759956.625488</v>
      </c>
    </row>
    <row r="21" spans="1:2" x14ac:dyDescent="0.25">
      <c r="A21" t="s">
        <v>63</v>
      </c>
      <c r="B21" s="18">
        <f>-Assumptions!B30</f>
        <v>-3875587000</v>
      </c>
    </row>
    <row r="22" spans="1:2" x14ac:dyDescent="0.25">
      <c r="A22" t="s">
        <v>64</v>
      </c>
      <c r="B22" s="18">
        <f>B20+B21</f>
        <v>11195172956.625488</v>
      </c>
    </row>
    <row r="23" spans="1:2" x14ac:dyDescent="0.25">
      <c r="A23" s="19" t="s">
        <v>65</v>
      </c>
      <c r="B23" s="25">
        <f>B22/Assumptions!B31</f>
        <v>103.24412044769619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99.12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13.298052489054863</v>
      </c>
    </row>
    <row r="29" spans="1:2" x14ac:dyDescent="0.25">
      <c r="A29" s="19" t="s">
        <v>73</v>
      </c>
      <c r="B29" s="12">
        <f>B28/B26-1</f>
        <v>-0.8658388570515047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0.064909</v>
      </c>
      <c r="B5" s="31">
        <v>25.478942993788724</v>
      </c>
      <c r="C5" s="31">
        <v>25.668871285659495</v>
      </c>
      <c r="D5" s="31">
        <v>25.858799577530245</v>
      </c>
      <c r="E5" s="31">
        <v>26.048727869401002</v>
      </c>
      <c r="F5" s="31">
        <v>26.238656161271756</v>
      </c>
    </row>
    <row r="6" spans="1:6" x14ac:dyDescent="0.25">
      <c r="A6" s="30">
        <v>0.074909</v>
      </c>
      <c r="B6" s="31">
        <v>18.446553282080238</v>
      </c>
      <c r="C6" s="31">
        <v>18.604348622121037</v>
      </c>
      <c r="D6" s="31">
        <v>18.762143962161822</v>
      </c>
      <c r="E6" s="31">
        <v>18.91993930220262</v>
      </c>
      <c r="F6" s="31">
        <v>19.077734642243414</v>
      </c>
    </row>
    <row r="7" spans="1:6" x14ac:dyDescent="0.25">
      <c r="A7" s="30">
        <v>0.084909</v>
      </c>
      <c r="B7" s="31">
        <v>13.030918901445627</v>
      </c>
      <c r="C7" s="31">
        <v>13.164448391189397</v>
      </c>
      <c r="D7" s="32">
        <v>13.29797788093315</v>
      </c>
      <c r="E7" s="31">
        <v>13.431507370676913</v>
      </c>
      <c r="F7" s="31">
        <v>13.565036860420665</v>
      </c>
    </row>
    <row r="8" spans="1:6" x14ac:dyDescent="0.25">
      <c r="A8" s="30">
        <v>0.094909</v>
      </c>
      <c r="B8" s="31">
        <v>8.72307631140296</v>
      </c>
      <c r="C8" s="31">
        <v>8.837704731465239</v>
      </c>
      <c r="D8" s="31">
        <v>8.952333151527492</v>
      </c>
      <c r="E8" s="31">
        <v>9.066961571589763</v>
      </c>
      <c r="F8" s="31">
        <v>9.181589991652016</v>
      </c>
    </row>
    <row r="9" spans="1:6" x14ac:dyDescent="0.25">
      <c r="A9" s="30">
        <v>0.104909</v>
      </c>
      <c r="B9" s="31">
        <v>5.2079938702055175</v>
      </c>
      <c r="C9" s="31">
        <v>5.307538714580394</v>
      </c>
      <c r="D9" s="31">
        <v>5.407083558955253</v>
      </c>
      <c r="E9" s="31">
        <v>5.506628403330129</v>
      </c>
      <c r="F9" s="31">
        <v>5.606173247704989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1573544000</v>
      </c>
      <c r="C5" s="18">
        <v>1543842000</v>
      </c>
      <c r="D5" s="18">
        <v>1542027000</v>
      </c>
      <c r="E5" s="18">
        <v>1422756000</v>
      </c>
      <c r="F5" s="8" t="s">
        <v>84</v>
      </c>
    </row>
    <row r="6" spans="1:6" x14ac:dyDescent="0.25">
      <c r="A6" t="s">
        <v>44</v>
      </c>
      <c r="B6" s="18">
        <v>288906000</v>
      </c>
      <c r="C6" s="18">
        <v>297264000</v>
      </c>
      <c r="D6" s="18">
        <v>323816000</v>
      </c>
      <c r="E6" s="18">
        <v>261313000</v>
      </c>
      <c r="F6" s="8" t="s">
        <v>85</v>
      </c>
    </row>
    <row r="7" spans="1:6" x14ac:dyDescent="0.25">
      <c r="A7" t="s">
        <v>86</v>
      </c>
      <c r="B7" s="18">
        <v>611025000</v>
      </c>
      <c r="C7" s="18">
        <v>582014000</v>
      </c>
      <c r="D7" s="18">
        <v>574813000</v>
      </c>
      <c r="E7" s="18">
        <v>577020000</v>
      </c>
      <c r="F7" s="8" t="s">
        <v>87</v>
      </c>
    </row>
    <row r="8" spans="1:6" x14ac:dyDescent="0.25">
      <c r="A8" t="s">
        <v>88</v>
      </c>
      <c r="B8" s="18">
        <v>440402000</v>
      </c>
      <c r="C8" s="18">
        <v>393735000</v>
      </c>
      <c r="D8" s="18">
        <v>410934000</v>
      </c>
      <c r="E8" s="18">
        <v>449431000</v>
      </c>
      <c r="F8" s="8" t="s">
        <v>89</v>
      </c>
    </row>
    <row r="9" spans="1:6" x14ac:dyDescent="0.25">
      <c r="A9" t="s">
        <v>90</v>
      </c>
      <c r="B9" s="18">
        <v>-51733000</v>
      </c>
      <c r="C9" s="18">
        <v>-8754000</v>
      </c>
      <c r="D9" s="18">
        <v>-17975000</v>
      </c>
      <c r="E9" s="18">
        <v>-3913000</v>
      </c>
      <c r="F9" s="8" t="s">
        <v>91</v>
      </c>
    </row>
    <row r="10" spans="1:6" x14ac:dyDescent="0.25">
      <c r="A10" t="s">
        <v>92</v>
      </c>
      <c r="B10" s="18">
        <v>3900790000</v>
      </c>
      <c r="C10" s="18">
        <v>3485591000</v>
      </c>
      <c r="D10" s="18">
        <v>3715436000</v>
      </c>
      <c r="E10" s="18">
        <v>3680900000</v>
      </c>
      <c r="F10" s="8" t="s">
        <v>93</v>
      </c>
    </row>
    <row r="11" spans="1:6" x14ac:dyDescent="0.25">
      <c r="A11" t="s">
        <v>94</v>
      </c>
      <c r="B11" s="18">
        <v>25203000</v>
      </c>
      <c r="C11" s="18">
        <v>21045000</v>
      </c>
      <c r="D11" s="18">
        <v>259686000</v>
      </c>
      <c r="E11" s="18">
        <v>10687000</v>
      </c>
      <c r="F11" s="8" t="s">
        <v>95</v>
      </c>
    </row>
    <row r="12" spans="1:6" x14ac:dyDescent="0.25">
      <c r="A12" t="s">
        <v>32</v>
      </c>
      <c r="B12" s="34">
        <v>108434000</v>
      </c>
      <c r="C12" s="34">
        <v>108539000</v>
      </c>
      <c r="D12" s="34">
        <v>109399000</v>
      </c>
      <c r="E12" s="34">
        <v>108388000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