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<sst xmlns="http://schemas.openxmlformats.org/spreadsheetml/2006/main" count="121" uniqueCount="104">
  <si>
    <t>Computershare Limited (CPU.AX)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</si>
  <si>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</si>
  <si>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</si>
  <si>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</si>
  <si>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</si>
  <si>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</si>
  <si>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</si>
  <si>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</si>
  <si>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</si>
  <si>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</si>
  <si>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</si>
  <si>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</si>
  <si>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</si>
  <si>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</si>
  <si>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</si>
  <si>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</si>
  <si>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</si>
  <si>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</si>
  <si>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</si>
  <si>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</si>
  <si>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</si>
  <si>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</si>
  <si>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</si>
  <si>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</si>
  <si>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</si>
  <si>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</si>
  <si>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</si>
  <si>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</si>
  <si>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</si>
  <si>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</si>
  <si>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</si>
  <si>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</si>
  <si>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</si>
  <si>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</si>
  <si>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</si>
  <si>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</si>
  <si>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</si>
  <si>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</si>
  <si>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</si>
  <si>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</si>
  <si>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</si>
  <si>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</si>
  <si>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</si>
  <si>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</si>
  <si>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</si>
  <si>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</si>
  <si>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</si>
  <si>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</si>
  <si>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</si>
  <si>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</si>
  <si>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</si>
  <si>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</si>
  <si>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</si>
  <si>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</si>
  <si>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</si>
  <si>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</si>
  <si>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</si>
  <si>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</si>
  <si>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</si>
  <si>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</si>
  <si>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</si>
  <si>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</si>
  <si>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</si>
  <si>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</si>
  <si>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</si>
  <si>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</si>
  <si>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</si>
  <si>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</si>
  <si>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</si>
  <si>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</si>
  <si>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</si>
  <si>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</si>
  <si>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</si>
  <si>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</si>
  <si>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</si>
  <si>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</si>
  <si>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</si>
  <si>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</si>
  <si>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</si>
  <si>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</si>
  <si>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</si>
  <si>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</si>
  <si>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</si>
  <si>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</si>
  <si>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</si>
  <si>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</si>
  <si>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</si>
  <si>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</si>
  <si>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</si>
  <si>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</si>
  <si>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</si>
  <si>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</si>
  <si>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</si>
  <si>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</si>
  <si>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</si>
  <si>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</si>
  <si>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</si>
  <si>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</si>
  <si>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</si>
  <si>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</si>
  <si>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</si>
  <si>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Reports in USD, trades in AUD. Modelled in USD, converted at the end.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</si>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</sst>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0.05450259576012351</v>
      </c>
    </row>
    <row r="7" spans="1:2" x14ac:dyDescent="0.25">
      <c r="A7" t="s">
        <v>5</v>
      </c>
      <c r="B7" s="6">
        <v>0.2742713342888925</v>
      </c>
    </row>
    <row r="8" spans="1:2" x14ac:dyDescent="0.25">
      <c r="A8" t="s">
        <v>6</v>
      </c>
      <c r="B8" s="6">
        <v>0.2753882298968957</v>
      </c>
    </row>
    <row r="9" spans="1:2" x14ac:dyDescent="0.25">
      <c r="A9" t="s">
        <v>7</v>
      </c>
      <c r="B9" s="6">
        <v>0.0674757523586938</v>
      </c>
    </row>
    <row r="10" spans="1:2" x14ac:dyDescent="0.25">
      <c r="A10" t="s">
        <v>8</v>
      </c>
      <c r="B10" s="6">
        <v>0.02652284017833641</v>
      </c>
    </row>
    <row r="11" spans="1:2" x14ac:dyDescent="0.25">
      <c r="A11" t="s">
        <v>9</v>
      </c>
      <c r="B11" s="6">
        <v>0.3813855843247026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0.159935140786449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0.31592999999999993</v>
      </c>
      <c r="C19" s="8" t="s">
        <v>19</v>
      </c>
    </row>
    <row r="20" spans="1:2" x14ac:dyDescent="0.25">
      <c r="A20" t="s">
        <v>20</v>
      </c>
      <c r="B20" s="10">
        <f>B17+B19*B18</f>
        <v>0.0724358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1355800000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0.03875223746511402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3257500000</v>
      </c>
      <c r="C29" s="8" t="s">
        <v>30</v>
      </c>
    </row>
    <row r="30" spans="1:2" x14ac:dyDescent="0.25">
      <c r="A30" t="s">
        <v>31</v>
      </c>
      <c r="B30" s="11">
        <v>157300000</v>
      </c>
    </row>
    <row r="31" spans="1:2" x14ac:dyDescent="0.25">
      <c r="A31" t="s">
        <v>32</v>
      </c>
      <c r="B31" s="13">
        <v>579737415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0.05450259576012351</v>
      </c>
      <c r="C5" s="10">
        <f>Assumptions!B6</f>
        <v>0.05450259576012351</v>
      </c>
      <c r="D5" s="10">
        <f>Assumptions!B6</f>
        <v>0.05450259576012351</v>
      </c>
      <c r="E5" s="10">
        <f>Assumptions!B6</f>
        <v>0.05450259576012351</v>
      </c>
      <c r="F5" s="10">
        <f>Assumptions!B6</f>
        <v>0.05450259576012351</v>
      </c>
    </row>
    <row r="6" spans="1:6" x14ac:dyDescent="0.25">
      <c r="A6" t="s">
        <v>43</v>
      </c>
      <c r="B6" s="18">
        <f>Assumptions!B29*(1+B5)</f>
        <v>3435042205.6886024</v>
      </c>
      <c r="C6" s="18">
        <f>B6*(1+C5)</f>
        <v>3622260922.4442115</v>
      </c>
      <c r="D6" s="18">
        <f>C6*(1+D5)</f>
        <v>3819683545.23788</v>
      </c>
      <c r="E6" s="18">
        <f>D6*(1+E5)</f>
        <v>4027866213.435576</v>
      </c>
      <c r="F6" s="18">
        <f>E6*(1+F5)</f>
        <v>4247395377.4423146</v>
      </c>
    </row>
    <row r="7" spans="1:6" x14ac:dyDescent="0.25">
      <c r="A7" t="s">
        <v>5</v>
      </c>
      <c r="B7" s="10">
        <f>Assumptions!B7</f>
        <v>0.2742713342888925</v>
      </c>
      <c r="C7" s="10">
        <f>Assumptions!B7</f>
        <v>0.2742713342888925</v>
      </c>
      <c r="D7" s="10">
        <f>Assumptions!B7</f>
        <v>0.2742713342888925</v>
      </c>
      <c r="E7" s="10">
        <f>Assumptions!B7</f>
        <v>0.2742713342888925</v>
      </c>
      <c r="F7" s="10">
        <f>Assumptions!B7</f>
        <v>0.2742713342888925</v>
      </c>
    </row>
    <row r="8" spans="1:6" x14ac:dyDescent="0.25">
      <c r="A8" t="s">
        <v>44</v>
      </c>
      <c r="B8" s="18">
        <f>B6*B7</f>
        <v>942133609.0928733</v>
      </c>
      <c r="C8" s="18">
        <f>C6*C7</f>
        <v>993482336.3412884</v>
      </c>
      <c r="D8" s="18">
        <f>D6*D7</f>
        <v>1047629702.5137206</v>
      </c>
      <c r="E8" s="18">
        <f>E6*E7</f>
        <v>1104728240.6961246</v>
      </c>
      <c r="F8" s="18">
        <f>F6*F7</f>
        <v>1164938797.4235778</v>
      </c>
    </row>
    <row r="9" spans="1:6" x14ac:dyDescent="0.25">
      <c r="A9" t="s">
        <v>45</v>
      </c>
      <c r="B9" s="18">
        <f>B8*(1-Assumptions!B8)</f>
        <v>682681102.158413</v>
      </c>
      <c r="C9" s="18">
        <f>C8*(1-Assumptions!B8)</f>
        <v>719888994.3024286</v>
      </c>
      <c r="D9" s="18">
        <f>D8*(1-Assumptions!B8)</f>
        <v>759124813.1510557</v>
      </c>
      <c r="E9" s="18">
        <f>E8*(1-Assumptions!B8)</f>
        <v>800499085.9737071</v>
      </c>
      <c r="F9" s="18">
        <f>F8*(1-Assumptions!B8)</f>
        <v>844128364.0628803</v>
      </c>
    </row>
    <row r="10" spans="1:6" x14ac:dyDescent="0.25">
      <c r="A10" t="s">
        <v>46</v>
      </c>
      <c r="B10" s="18">
        <f>B6*Assumptions!B9</f>
        <v>231782057.21270546</v>
      </c>
      <c r="C10" s="18">
        <f>C6*Assumptions!B9</f>
        <v>244414780.98141938</v>
      </c>
      <c r="D10" s="18">
        <f>D6*Assumptions!B9</f>
        <v>257736020.98704877</v>
      </c>
      <c r="E10" s="18">
        <f>E6*Assumptions!B9</f>
        <v>271783303.15172863</v>
      </c>
      <c r="F10" s="18">
        <f>F6*Assumptions!B9</f>
        <v>286596198.6577584</v>
      </c>
    </row>
    <row r="11" spans="1:6" x14ac:dyDescent="0.25">
      <c r="A11" t="s">
        <v>47</v>
      </c>
      <c r="B11" s="18">
        <f>-B6*Assumptions!B10</f>
        <v>-91107075.42731899</v>
      </c>
      <c r="C11" s="18">
        <f>-C6*Assumptions!B10</f>
        <v>-96072647.53022124</v>
      </c>
      <c r="D11" s="18">
        <f>-D6*Assumptions!B10</f>
        <v>-101308856.20216571</v>
      </c>
      <c r="E11" s="18">
        <f>-E6*Assumptions!B10</f>
        <v>-106830451.83867283</v>
      </c>
      <c r="F11" s="18">
        <f>-F6*Assumptions!B10</f>
        <v>-112652988.77010736</v>
      </c>
    </row>
    <row r="12" spans="1:6" x14ac:dyDescent="0.25">
      <c r="A12" t="s">
        <v>48</v>
      </c>
      <c r="B12" s="18">
        <f>-(B6-Assumptions!B29)*Assumptions!B11</f>
        <v>-67712037.85884418</v>
      </c>
      <c r="C12" s="18">
        <f>-(C6-B6)*Assumptions!B11</f>
        <v>-71402519.68635894</v>
      </c>
      <c r="D12" s="18">
        <f>-(D6-C6)*Assumptions!B11</f>
        <v>-75294142.35307871</v>
      </c>
      <c r="E12" s="18">
        <f>-(E6-D6)*Assumptions!B11</f>
        <v>-79397868.55685386</v>
      </c>
      <c r="F12" s="18">
        <f>-(F6-E6)*Assumptions!B11</f>
        <v>-83725258.4910235</v>
      </c>
    </row>
    <row r="13" spans="1:6" x14ac:dyDescent="0.25">
      <c r="A13" s="19" t="s">
        <v>49</v>
      </c>
      <c r="B13" s="20">
        <f>B9+B10+B11+B12</f>
        <v>755644046.0849553</v>
      </c>
      <c r="C13" s="20">
        <f>C9+C10+C11+C12</f>
        <v>796828608.0672679</v>
      </c>
      <c r="D13" s="20">
        <f>D9+D10+D11+D12</f>
        <v>840257835.58286</v>
      </c>
      <c r="E13" s="20">
        <f>E9+E10+E11+E12</f>
        <v>886054068.729909</v>
      </c>
      <c r="F13" s="20">
        <f>F9+F10+F11+F12</f>
        <v>934346315.4595078</v>
      </c>
    </row>
    <row r="14" spans="1:6" x14ac:dyDescent="0.25">
      <c r="A14" t="s">
        <v>50</v>
      </c>
      <c r="B14" s="21">
        <f>1/(1+Assumptions!$B$26)^(1-0.5*Assumptions!$B$32)</f>
        <v>0.9811694419892831</v>
      </c>
      <c r="C14" s="21">
        <f>1/(1+Assumptions!$B$26)^(2-0.5*Assumptions!$B$32)</f>
        <v>0.94456541858687</v>
      </c>
      <c r="D14" s="21">
        <f>1/(1+Assumptions!$B$26)^(3-0.5*Assumptions!$B$32)</f>
        <v>0.9093269641391198</v>
      </c>
      <c r="E14" s="21">
        <f>1/(1+Assumptions!$B$26)^(4-0.5*Assumptions!$B$32)</f>
        <v>0.8754031340121751</v>
      </c>
      <c r="F14" s="21">
        <f>1/(1+Assumptions!$B$26)^(5-0.5*Assumptions!$B$32)</f>
        <v>0.8427448841394916</v>
      </c>
    </row>
    <row r="15" spans="1:6" x14ac:dyDescent="0.25">
      <c r="A15" s="19" t="s">
        <v>51</v>
      </c>
      <c r="B15" s="20">
        <f>B13*B14</f>
        <v>741414847.0396998</v>
      </c>
      <c r="C15" s="20">
        <f>C13*C14</f>
        <v>752656747.7210519</v>
      </c>
      <c r="D15" s="20">
        <f>D13*D14</f>
        <v>764069106.7246698</v>
      </c>
      <c r="E15" s="20">
        <f>E13*E14</f>
        <v>775654508.6704015</v>
      </c>
      <c r="F15" s="20">
        <f>F13*F14</f>
        <v>787415577.3680837</v>
      </c>
    </row>
    <row r="17" spans="1:2" x14ac:dyDescent="0.25">
      <c r="A17" s="22" t="s">
        <v>52</v>
      </c>
      <c r="B17" s="23">
        <f>SUM(B15:F15)</f>
        <v>3821210787.5239067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934346315.4595078</v>
      </c>
    </row>
    <row r="5" spans="1:2" x14ac:dyDescent="0.25">
      <c r="A5" t="s">
        <v>56</v>
      </c>
      <c r="B5" s="18">
        <f>IF(Assumptions!$B$33=0,B4,B4-Forecast!F11-Forecast!F10-Forecast!F12)</f>
        <v>893242567.3641306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0.15631336476191232</v>
      </c>
    </row>
    <row r="7" spans="1:2" x14ac:dyDescent="0.25">
      <c r="A7" t="s">
        <v>58</v>
      </c>
      <c r="B7" s="18">
        <f>-MAX(Forecast!F9,0)*B6</f>
        <v>-139625751.25325638</v>
      </c>
    </row>
    <row r="8" spans="1:2" x14ac:dyDescent="0.25">
      <c r="A8" t="s">
        <v>59</v>
      </c>
      <c r="B8" s="18">
        <f>IF(OR(Assumptions!$B$33=0,Assumptions!B12&lt;=0),B5,MAX(B5+B7,0))</f>
        <v>753616816.1108742</v>
      </c>
    </row>
    <row r="9" spans="1:2" x14ac:dyDescent="0.25">
      <c r="A9" t="s">
        <v>60</v>
      </c>
      <c r="B9" s="18">
        <f>B8*(1+Assumptions!B12)/(Assumptions!B26-Assumptions!B12)</f>
        <v>56169567931.99482</v>
      </c>
    </row>
    <row r="10" spans="1:2" x14ac:dyDescent="0.25">
      <c r="A10" t="s">
        <v>61</v>
      </c>
      <c r="B10" s="18">
        <f>B9/(1+Assumptions!B26)^(5-0.5*Assumptions!B32)</f>
        <v>47336616019.014275</v>
      </c>
    </row>
    <row r="11" spans="1:2" x14ac:dyDescent="0.25">
      <c r="A11" t="s">
        <v>62</v>
      </c>
      <c r="B11" s="18">
        <f>Forecast!B17+B10</f>
        <v>51157826806.53818</v>
      </c>
    </row>
    <row r="12" spans="1:2" x14ac:dyDescent="0.25">
      <c r="A12" t="s">
        <v>63</v>
      </c>
      <c r="B12" s="18">
        <f>-Assumptions!B30</f>
        <v>-157300000</v>
      </c>
    </row>
    <row r="13" spans="1:2" x14ac:dyDescent="0.25">
      <c r="A13" t="s">
        <v>64</v>
      </c>
      <c r="B13" s="18">
        <f>B11+B12</f>
        <v>51000526806.53818</v>
      </c>
    </row>
    <row r="14" spans="1:2" x14ac:dyDescent="0.25">
      <c r="A14" s="19" t="s">
        <v>65</v>
      </c>
      <c r="B14" s="24">
        <f>B13/Assumptions!B31</f>
        <v>87.97177047222004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1451534996.0813363</v>
      </c>
    </row>
    <row r="18" spans="1:2" x14ac:dyDescent="0.25">
      <c r="A18" t="s">
        <v>60</v>
      </c>
      <c r="B18" s="18">
        <f>B17*Assumptions!B13</f>
        <v>11612279968.65069</v>
      </c>
    </row>
    <row r="19" spans="1:2" x14ac:dyDescent="0.25">
      <c r="A19" t="s">
        <v>61</v>
      </c>
      <c r="B19" s="18">
        <f>B18/(1+Assumptions!B26)^(5-0.5*Assumptions!B32)</f>
        <v>9786189536.775864</v>
      </c>
    </row>
    <row r="20" spans="1:2" x14ac:dyDescent="0.25">
      <c r="A20" t="s">
        <v>62</v>
      </c>
      <c r="B20" s="18">
        <f>Forecast!B17+B19</f>
        <v>13607400324.29977</v>
      </c>
    </row>
    <row r="21" spans="1:2" x14ac:dyDescent="0.25">
      <c r="A21" t="s">
        <v>63</v>
      </c>
      <c r="B21" s="18">
        <f>-Assumptions!B30</f>
        <v>-157300000</v>
      </c>
    </row>
    <row r="22" spans="1:2" x14ac:dyDescent="0.25">
      <c r="A22" t="s">
        <v>64</v>
      </c>
      <c r="B22" s="18">
        <f>B20+B21</f>
        <v>13450100324.29977</v>
      </c>
    </row>
    <row r="23" spans="1:2" x14ac:dyDescent="0.25">
      <c r="A23" s="19" t="s">
        <v>65</v>
      </c>
      <c r="B23" s="25">
        <f>B22/Assumptions!B31</f>
        <v>23.200331695513857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40.9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123.52996009709138</v>
      </c>
    </row>
    <row r="29" spans="1:2" x14ac:dyDescent="0.25">
      <c r="A29" s="19" t="s">
        <v>73</v>
      </c>
      <c r="B29" s="12">
        <f>B28/B26-1</f>
        <v>2.0202924229117696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0.018752</v>
      </c>
      <c r="B5" s="31">
        <v>354.0814092001127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0.028752</v>
      </c>
      <c r="B6" s="31">
        <v>97.1969833015745</v>
      </c>
      <c r="C6" s="31">
        <v>144.78183971706412</v>
      </c>
      <c r="D6" s="31">
        <v>319.0789999556362</v>
      </c>
      <c r="E6" s="31" t="s">
        <v>76</v>
      </c>
      <c r="F6" s="31" t="s">
        <v>76</v>
      </c>
    </row>
    <row r="7" spans="1:6" x14ac:dyDescent="0.25">
      <c r="A7" s="30">
        <v>0.038752</v>
      </c>
      <c r="B7" s="31">
        <v>56.60400967422841</v>
      </c>
      <c r="C7" s="31">
        <v>68.11734111937353</v>
      </c>
      <c r="D7" s="32">
        <v>87.97326822096605</v>
      </c>
      <c r="E7" s="31">
        <v>130.47011534448933</v>
      </c>
      <c r="F7" s="31">
        <v>286.12328769489085</v>
      </c>
    </row>
    <row r="8" spans="1:6" x14ac:dyDescent="0.25">
      <c r="A8" s="30">
        <v>0.048752</v>
      </c>
      <c r="B8" s="31">
        <v>40.05543710614614</v>
      </c>
      <c r="C8" s="31">
        <v>44.76608043743289</v>
      </c>
      <c r="D8" s="31">
        <v>51.44361599130513</v>
      </c>
      <c r="E8" s="31">
        <v>61.66138972226279</v>
      </c>
      <c r="F8" s="31">
        <v>79.28091796656832</v>
      </c>
    </row>
    <row r="9" spans="1:6" x14ac:dyDescent="0.25">
      <c r="A9" s="30">
        <v>0.058752</v>
      </c>
      <c r="B9" s="31">
        <v>31.064876927205788</v>
      </c>
      <c r="C9" s="31">
        <v>33.45609988753658</v>
      </c>
      <c r="D9" s="31">
        <v>36.54475336648515</v>
      </c>
      <c r="E9" s="31">
        <v>40.694688844966464</v>
      </c>
      <c r="F9" s="31">
        <v>46.57613325094411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3257500000</v>
      </c>
      <c r="C5" s="18">
        <v>3114600000</v>
      </c>
      <c r="D5" s="18">
        <v>2917833000</v>
      </c>
      <c r="E5" s="18">
        <v>2778059000</v>
      </c>
      <c r="F5" s="8" t="s">
        <v>85</v>
      </c>
    </row>
    <row r="6" spans="1:6" x14ac:dyDescent="0.25">
      <c r="A6" t="s">
        <v>44</v>
      </c>
      <c r="B6" s="18">
        <v>920100000</v>
      </c>
      <c r="C6" s="18">
        <v>895400000</v>
      </c>
      <c r="D6" s="18">
        <v>768002000</v>
      </c>
      <c r="E6" s="18">
        <v>733227000</v>
      </c>
      <c r="F6" s="8" t="s">
        <v>86</v>
      </c>
    </row>
    <row r="7" spans="1:6" x14ac:dyDescent="0.25">
      <c r="A7" t="s">
        <v>87</v>
      </c>
      <c r="B7" s="18">
        <v>174400000</v>
      </c>
      <c r="C7" s="18">
        <v>164500000</v>
      </c>
      <c r="D7" s="18">
        <v>183109000</v>
      </c>
      <c r="E7" s="18">
        <v>280012000</v>
      </c>
      <c r="F7" s="8" t="s">
        <v>88</v>
      </c>
    </row>
    <row r="8" spans="1:6" x14ac:dyDescent="0.25">
      <c r="A8" t="s">
        <v>89</v>
      </c>
      <c r="B8" s="18">
        <v>35400000</v>
      </c>
      <c r="C8" s="18">
        <v>43500000</v>
      </c>
      <c r="D8" s="18">
        <v>118832000</v>
      </c>
      <c r="E8" s="18">
        <v>112599000</v>
      </c>
      <c r="F8" s="8" t="s">
        <v>90</v>
      </c>
    </row>
    <row r="9" spans="1:6" x14ac:dyDescent="0.25">
      <c r="A9" t="s">
        <v>91</v>
      </c>
      <c r="B9" s="18">
        <v>54500000</v>
      </c>
      <c r="C9" s="18">
        <v>1200000</v>
      </c>
      <c r="D9" s="18">
        <v>88836000</v>
      </c>
      <c r="E9" s="18">
        <v>162698000</v>
      </c>
      <c r="F9" s="8" t="s">
        <v>92</v>
      </c>
    </row>
    <row r="10" spans="1:6" x14ac:dyDescent="0.25">
      <c r="A10" t="s">
        <v>93</v>
      </c>
      <c r="B10" s="18">
        <v>1355800000</v>
      </c>
      <c r="C10" s="18">
        <v>1921200000</v>
      </c>
      <c r="D10" s="18">
        <v>1785752000</v>
      </c>
      <c r="E10" s="18">
        <v>2534014000</v>
      </c>
      <c r="F10" s="8" t="s">
        <v>94</v>
      </c>
    </row>
    <row r="11" spans="1:6" x14ac:dyDescent="0.25">
      <c r="A11" t="s">
        <v>95</v>
      </c>
      <c r="B11" s="18">
        <v>1198500000</v>
      </c>
      <c r="C11" s="18">
        <v>1378400000</v>
      </c>
      <c r="D11" s="18">
        <v>1302561000</v>
      </c>
      <c r="E11" s="18">
        <v>1244691000</v>
      </c>
      <c r="F11" s="8" t="s">
        <v>96</v>
      </c>
    </row>
    <row r="12" spans="1:6" x14ac:dyDescent="0.25">
      <c r="A12" t="s">
        <v>32</v>
      </c>
      <c r="B12" s="34">
        <v>579737415</v>
      </c>
      <c r="C12" s="34">
        <v>588239507</v>
      </c>
      <c r="D12" s="34">
        <v>599928830</v>
      </c>
      <c r="E12" s="34">
        <v>605099739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1" spans="1:1" x14ac:dyDescent="0.25">
      <c r="A21" s="36" t="s">
        <v>103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2026-09-19T00:06:08Z</dcterms:modified>
</cp:coreProperties>
</file>