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<sst xmlns="http://schemas.openxmlformats.org/spreadsheetml/2006/main" count="123" uniqueCount="103">
  <si>
    <t>Croda International Plc (CRDA.L)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</si>
  <si>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</si>
  <si>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</si>
  <si>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</si>
  <si>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</si>
  <si>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</si>
  <si>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</si>
  <si>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</si>
  <si>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</si>
  <si>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</si>
  <si>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</si>
  <si>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</si>
  <si>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</si>
  <si>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</si>
  <si>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</si>
  <si>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</si>
  <si>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</si>
  <si>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</si>
  <si>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</si>
  <si>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</si>
  <si>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</si>
  <si>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</si>
  <si>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</si>
  <si>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</si>
  <si>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</si>
  <si>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</si>
  <si>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</si>
  <si>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</si>
  <si>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</si>
  <si>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</si>
  <si>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</si>
  <si>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</si>
  <si>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</si>
  <si>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</si>
  <si>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</si>
  <si>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</si>
  <si>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</si>
  <si>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</si>
  <si>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</si>
  <si>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</si>
  <si>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</si>
  <si>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</si>
  <si>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</si>
  <si>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</si>
  <si>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</si>
  <si>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</si>
  <si>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</si>
  <si>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</si>
  <si>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</si>
  <si>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</si>
  <si>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</si>
  <si>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</si>
  <si>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</si>
  <si>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</si>
  <si>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</si>
  <si>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</si>
  <si>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</si>
  <si>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</si>
  <si>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</si>
  <si>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</si>
  <si>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</si>
  <si>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</si>
  <si>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</si>
  <si>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</si>
  <si>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</si>
  <si>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</si>
  <si>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</si>
  <si>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</si>
  <si>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</si>
  <si>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</si>
  <si>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</si>
  <si>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</si>
  <si>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</si>
  <si>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</si>
  <si>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</si>
  <si>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</si>
  <si>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</si>
  <si>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</si>
  <si>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</si>
  <si>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</si>
  <si>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</si>
  <si>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</si>
  <si>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</si>
  <si>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</si>
  <si>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</si>
  <si>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</si>
  <si>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</si>
  <si>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</si>
  <si>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</si>
  <si>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</si>
  <si>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</si>
  <si>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</si>
  <si>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</si>
  <si>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</si>
  <si>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</si>
  <si>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</si>
  <si>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</si>
  <si>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</si>
  <si>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</si>
  <si>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</si>
  <si>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Note: Risk-free rate is an assumption: GBP assumption - no free live source available for this market.</t>
  </si>
  <si>
    <t>No usable EV/EBITDA (EBITDA is not positive), so the exit multiple falls back to 8x.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</si>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</sst>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-0.06653450340728795</v>
      </c>
    </row>
    <row r="7" spans="1:2" x14ac:dyDescent="0.25">
      <c r="A7" t="s">
        <v>5</v>
      </c>
      <c r="B7" s="6">
        <v>0.1651534038139783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0.07406839750652953</v>
      </c>
    </row>
    <row r="10" spans="1:2" x14ac:dyDescent="0.25">
      <c r="A10" t="s">
        <v>8</v>
      </c>
      <c r="B10" s="6">
        <v>0.09167465840704034</v>
      </c>
    </row>
    <row r="11" spans="1:2" x14ac:dyDescent="0.25">
      <c r="A11" t="s">
        <v>9</v>
      </c>
      <c r="B11" s="6">
        <v>0.10799438990182328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0.06608234533098162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0.95243</v>
      </c>
      <c r="C19" s="8" t="s">
        <v>19</v>
      </c>
    </row>
    <row r="20" spans="1:2" x14ac:dyDescent="0.25">
      <c r="A20" t="s">
        <v>20</v>
      </c>
      <c r="B20" s="10">
        <f>B17+B19*B18</f>
        <v>0.09738364999999999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696600000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0.03375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1699400000</v>
      </c>
      <c r="C29" s="8" t="s">
        <v>30</v>
      </c>
    </row>
    <row r="30" spans="1:2" x14ac:dyDescent="0.25">
      <c r="A30" t="s">
        <v>31</v>
      </c>
      <c r="B30" s="11">
        <v>523800000</v>
      </c>
    </row>
    <row r="31" spans="1:2" x14ac:dyDescent="0.25">
      <c r="A31" t="s">
        <v>32</v>
      </c>
      <c r="B31" s="13">
        <v>139639640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-0.06653450340728795</v>
      </c>
      <c r="C5" s="10">
        <f>Assumptions!B6</f>
        <v>-0.06653450340728795</v>
      </c>
      <c r="D5" s="10">
        <f>Assumptions!B6</f>
        <v>-0.06653450340728795</v>
      </c>
      <c r="E5" s="10">
        <f>Assumptions!B6</f>
        <v>-0.06653450340728795</v>
      </c>
      <c r="F5" s="10">
        <f>Assumptions!B6</f>
        <v>-0.06653450340728795</v>
      </c>
    </row>
    <row r="6" spans="1:6" x14ac:dyDescent="0.25">
      <c r="A6" t="s">
        <v>43</v>
      </c>
      <c r="B6" s="18">
        <f>Assumptions!B29*(1+B5)</f>
        <v>1586331264.9096549</v>
      </c>
      <c r="C6" s="18">
        <f>B6*(1+C5)</f>
        <v>1480785501.959436</v>
      </c>
      <c r="D6" s="18">
        <f>C6*(1+D5)</f>
        <v>1382262173.9338531</v>
      </c>
      <c r="E6" s="18">
        <f>D6*(1+E5)</f>
        <v>1290294046.612486</v>
      </c>
      <c r="F6" s="18">
        <f>E6*(1+F5)</f>
        <v>1204444972.971744</v>
      </c>
    </row>
    <row r="7" spans="1:6" x14ac:dyDescent="0.25">
      <c r="A7" t="s">
        <v>5</v>
      </c>
      <c r="B7" s="10">
        <f>Assumptions!B7</f>
        <v>0.1651534038139783</v>
      </c>
      <c r="C7" s="10">
        <f>Assumptions!B7</f>
        <v>0.1651534038139783</v>
      </c>
      <c r="D7" s="10">
        <f>Assumptions!B7</f>
        <v>0.1651534038139783</v>
      </c>
      <c r="E7" s="10">
        <f>Assumptions!B7</f>
        <v>0.1651534038139783</v>
      </c>
      <c r="F7" s="10">
        <f>Assumptions!B7</f>
        <v>0.1651534038139783</v>
      </c>
    </row>
    <row r="8" spans="1:6" x14ac:dyDescent="0.25">
      <c r="A8" t="s">
        <v>44</v>
      </c>
      <c r="B8" s="18">
        <f>B6*B7</f>
        <v>261988007.9763632</v>
      </c>
      <c r="C8" s="18">
        <f>C6*C7</f>
        <v>244556765.96699128</v>
      </c>
      <c r="D8" s="18">
        <f>D6*D7</f>
        <v>228285302.98848516</v>
      </c>
      <c r="E8" s="18">
        <f>E6*E7</f>
        <v>213096453.71896404</v>
      </c>
      <c r="F8" s="18">
        <f>F6*F7</f>
        <v>198918186.99291864</v>
      </c>
    </row>
    <row r="9" spans="1:6" x14ac:dyDescent="0.25">
      <c r="A9" t="s">
        <v>45</v>
      </c>
      <c r="B9" s="18">
        <f>B8*(1-Assumptions!B8)</f>
        <v>196491005.98227242</v>
      </c>
      <c r="C9" s="18">
        <f>C8*(1-Assumptions!B8)</f>
        <v>183417574.47524345</v>
      </c>
      <c r="D9" s="18">
        <f>D8*(1-Assumptions!B8)</f>
        <v>171213977.24136388</v>
      </c>
      <c r="E9" s="18">
        <f>E8*(1-Assumptions!B8)</f>
        <v>159822340.28922302</v>
      </c>
      <c r="F9" s="18">
        <f>F8*(1-Assumptions!B8)</f>
        <v>149188640.244689</v>
      </c>
    </row>
    <row r="10" spans="1:6" x14ac:dyDescent="0.25">
      <c r="A10" t="s">
        <v>46</v>
      </c>
      <c r="B10" s="18">
        <f>B6*Assumptions!B9</f>
        <v>117497014.70636413</v>
      </c>
      <c r="C10" s="18">
        <f>C6*Assumptions!B9</f>
        <v>109679409.18103737</v>
      </c>
      <c r="D10" s="18">
        <f>D6*Assumptions!B9</f>
        <v>102381944.1571723</v>
      </c>
      <c r="E10" s="18">
        <f>E6*Assumptions!B9</f>
        <v>95570012.34480216</v>
      </c>
      <c r="F10" s="18">
        <f>F6*Assumptions!B9</f>
        <v>89211309.03281236</v>
      </c>
    </row>
    <row r="11" spans="1:6" x14ac:dyDescent="0.25">
      <c r="A11" t="s">
        <v>47</v>
      </c>
      <c r="B11" s="18">
        <f>-B6*Assumptions!B10</f>
        <v>-145426376.83100083</v>
      </c>
      <c r="C11" s="18">
        <f>-C6*Assumptions!B10</f>
        <v>-135750505.06622905</v>
      </c>
      <c r="D11" s="18">
        <f>-D6*Assumptions!B10</f>
        <v>-126718412.62435897</v>
      </c>
      <c r="E11" s="18">
        <f>-E6*Assumptions!B10</f>
        <v>-118287265.96783742</v>
      </c>
      <c r="F11" s="18">
        <f>-F6*Assumptions!B10</f>
        <v>-110417081.46726157</v>
      </c>
    </row>
    <row r="12" spans="1:6" x14ac:dyDescent="0.25">
      <c r="A12" t="s">
        <v>48</v>
      </c>
      <c r="B12" s="18">
        <f>-(B6-Assumptions!B29)*Assumptions!B11</f>
        <v>12210789.0630527</v>
      </c>
      <c r="C12" s="18">
        <f>-(C6-B6)*Assumptions!B11</f>
        <v>11398350.276531355</v>
      </c>
      <c r="D12" s="18">
        <f>-(D6-C6)*Assumptions!B11</f>
        <v>10639966.70122002</v>
      </c>
      <c r="E12" s="18">
        <f>-(E6-D6)*Assumptions!B11</f>
        <v>9932041.800484262</v>
      </c>
      <c r="F12" s="18">
        <f>-(F6-E6)*Assumptions!B11</f>
        <v>9271218.331468612</v>
      </c>
    </row>
    <row r="13" spans="1:6" x14ac:dyDescent="0.25">
      <c r="A13" s="19" t="s">
        <v>49</v>
      </c>
      <c r="B13" s="20">
        <f>B9+B10+B11+B12</f>
        <v>180772432.92068842</v>
      </c>
      <c r="C13" s="20">
        <f>C9+C10+C11+C12</f>
        <v>168744828.86658314</v>
      </c>
      <c r="D13" s="20">
        <f>D9+D10+D11+D12</f>
        <v>157517475.4753973</v>
      </c>
      <c r="E13" s="20">
        <f>E9+E10+E11+E12</f>
        <v>147037128.466672</v>
      </c>
      <c r="F13" s="20">
        <f>F9+F10+F11+F12</f>
        <v>137254086.14170837</v>
      </c>
    </row>
    <row r="14" spans="1:6" x14ac:dyDescent="0.25">
      <c r="A14" t="s">
        <v>50</v>
      </c>
      <c r="B14" s="21">
        <f>1/(1+Assumptions!$B$26)^(1-0.5*Assumptions!$B$32)</f>
        <v>0.9835404792098069</v>
      </c>
      <c r="C14" s="21">
        <f>1/(1+Assumptions!$B$26)^(2-0.5*Assumptions!$B$32)</f>
        <v>0.9514297259587007</v>
      </c>
      <c r="D14" s="21">
        <f>1/(1+Assumptions!$B$26)^(3-0.5*Assumptions!$B$32)</f>
        <v>0.9203673286178483</v>
      </c>
      <c r="E14" s="21">
        <f>1/(1+Assumptions!$B$26)^(4-0.5*Assumptions!$B$32)</f>
        <v>0.8903190603316551</v>
      </c>
      <c r="F14" s="21">
        <f>1/(1+Assumptions!$B$26)^(5-0.5*Assumptions!$B$32)</f>
        <v>0.8612518116872118</v>
      </c>
    </row>
    <row r="15" spans="1:6" x14ac:dyDescent="0.25">
      <c r="A15" s="19" t="s">
        <v>51</v>
      </c>
      <c r="B15" s="20">
        <f>B13*B14</f>
        <v>177797005.30273655</v>
      </c>
      <c r="C15" s="20">
        <f>C13*C14</f>
        <v>160548846.28548104</v>
      </c>
      <c r="D15" s="20">
        <f>D13*D14</f>
        <v>144973938.11391884</v>
      </c>
      <c r="E15" s="20">
        <f>E13*E14</f>
        <v>130909958.05031227</v>
      </c>
      <c r="F15" s="20">
        <f>F13*F14</f>
        <v>118210330.35101897</v>
      </c>
    </row>
    <row r="17" spans="1:2" x14ac:dyDescent="0.25">
      <c r="A17" s="22" t="s">
        <v>52</v>
      </c>
      <c r="B17" s="23">
        <f>SUM(B15:F15)</f>
        <v>732440078.1034677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137254086.14170837</v>
      </c>
    </row>
    <row r="5" spans="1:2" x14ac:dyDescent="0.25">
      <c r="A5" t="s">
        <v>56</v>
      </c>
      <c r="B5" s="18">
        <f>IF(Assumptions!$B$33=0,B4,B4-Forecast!F11-Forecast!F10-Forecast!F12)</f>
        <v>170067028.2752285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0.3783158705216106</v>
      </c>
    </row>
    <row r="7" spans="1:2" x14ac:dyDescent="0.25">
      <c r="A7" t="s">
        <v>58</v>
      </c>
      <c r="B7" s="18">
        <f>-MAX(Forecast!F9,0)*B6</f>
        <v>-64339055.848966435</v>
      </c>
    </row>
    <row r="8" spans="1:2" x14ac:dyDescent="0.25">
      <c r="A8" t="s">
        <v>59</v>
      </c>
      <c r="B8" s="18">
        <f>IF(OR(Assumptions!$B$33=0,Assumptions!B12&lt;=0),B5,MAX(B5+B7,0))</f>
        <v>105727972.42626207</v>
      </c>
    </row>
    <row r="9" spans="1:2" x14ac:dyDescent="0.25">
      <c r="A9" t="s">
        <v>60</v>
      </c>
      <c r="B9" s="18">
        <f>B8*(1+Assumptions!B12)/(Assumptions!B26-Assumptions!B12)</f>
        <v>12385276769.933554</v>
      </c>
    </row>
    <row r="10" spans="1:2" x14ac:dyDescent="0.25">
      <c r="A10" t="s">
        <v>61</v>
      </c>
      <c r="B10" s="18">
        <f>B9/(1+Assumptions!B26)^(5-0.5*Assumptions!B32)</f>
        <v>10666842056.352812</v>
      </c>
    </row>
    <row r="11" spans="1:2" x14ac:dyDescent="0.25">
      <c r="A11" t="s">
        <v>62</v>
      </c>
      <c r="B11" s="18">
        <f>Forecast!B17+B10</f>
        <v>11399282134.45628</v>
      </c>
    </row>
    <row r="12" spans="1:2" x14ac:dyDescent="0.25">
      <c r="A12" t="s">
        <v>63</v>
      </c>
      <c r="B12" s="18">
        <f>-Assumptions!B30</f>
        <v>-523800000</v>
      </c>
    </row>
    <row r="13" spans="1:2" x14ac:dyDescent="0.25">
      <c r="A13" t="s">
        <v>64</v>
      </c>
      <c r="B13" s="18">
        <f>B11+B12</f>
        <v>10875482134.45628</v>
      </c>
    </row>
    <row r="14" spans="1:2" x14ac:dyDescent="0.25">
      <c r="A14" s="19" t="s">
        <v>65</v>
      </c>
      <c r="B14" s="24">
        <f>B13/Assumptions!B31</f>
        <v>77.8824847618934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288129496.02573097</v>
      </c>
    </row>
    <row r="18" spans="1:2" x14ac:dyDescent="0.25">
      <c r="A18" t="s">
        <v>60</v>
      </c>
      <c r="B18" s="18">
        <f>B17*Assumptions!B13</f>
        <v>2305035968.2058477</v>
      </c>
    </row>
    <row r="19" spans="1:2" x14ac:dyDescent="0.25">
      <c r="A19" t="s">
        <v>61</v>
      </c>
      <c r="B19" s="18">
        <f>B18/(1+Assumptions!B26)^(5-0.5*Assumptions!B32)</f>
        <v>1985216403.6214726</v>
      </c>
    </row>
    <row r="20" spans="1:2" x14ac:dyDescent="0.25">
      <c r="A20" t="s">
        <v>62</v>
      </c>
      <c r="B20" s="18">
        <f>Forecast!B17+B19</f>
        <v>2717656481.7249403</v>
      </c>
    </row>
    <row r="21" spans="1:2" x14ac:dyDescent="0.25">
      <c r="A21" t="s">
        <v>63</v>
      </c>
      <c r="B21" s="18">
        <f>-Assumptions!B30</f>
        <v>-523800000</v>
      </c>
    </row>
    <row r="22" spans="1:2" x14ac:dyDescent="0.25">
      <c r="A22" t="s">
        <v>64</v>
      </c>
      <c r="B22" s="18">
        <f>B20+B21</f>
        <v>2193856481.7249403</v>
      </c>
    </row>
    <row r="23" spans="1:2" x14ac:dyDescent="0.25">
      <c r="A23" s="19" t="s">
        <v>65</v>
      </c>
      <c r="B23" s="25">
        <f>B22/Assumptions!B31</f>
        <v>15.710843151163525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3163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7788.248476189339</v>
      </c>
    </row>
    <row r="29" spans="1:2" x14ac:dyDescent="0.25">
      <c r="A29" s="19" t="s">
        <v>73</v>
      </c>
      <c r="B29" s="12">
        <f>B28/B26-1</f>
        <v>1.4622979690766167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0.01375</v>
      </c>
      <c r="B5" s="31" t="s">
        <v>76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0.02375</v>
      </c>
      <c r="B6" s="31">
        <v>99.87427821237934</v>
      </c>
      <c r="C6" s="31">
        <v>209.46630566430085</v>
      </c>
      <c r="D6" s="31" t="s">
        <v>76</v>
      </c>
      <c r="E6" s="31" t="s">
        <v>76</v>
      </c>
      <c r="F6" s="31" t="s">
        <v>76</v>
      </c>
    </row>
    <row r="7" spans="1:6" x14ac:dyDescent="0.25">
      <c r="A7" s="30">
        <v>0.03375</v>
      </c>
      <c r="B7" s="31">
        <v>45.386772033074315</v>
      </c>
      <c r="C7" s="31">
        <v>55.755176798638765</v>
      </c>
      <c r="D7" s="32">
        <v>77.8824847618934</v>
      </c>
      <c r="E7" s="31">
        <v>158.8043087135989</v>
      </c>
      <c r="F7" s="31" t="s">
        <v>76</v>
      </c>
    </row>
    <row r="8" spans="1:6" x14ac:dyDescent="0.25">
      <c r="A8" s="30">
        <v>0.04375</v>
      </c>
      <c r="B8" s="31">
        <v>28.791897007873228</v>
      </c>
      <c r="C8" s="31">
        <v>31.46232168870735</v>
      </c>
      <c r="D8" s="31">
        <v>35.51643970361963</v>
      </c>
      <c r="E8" s="31">
        <v>42.463734689786264</v>
      </c>
      <c r="F8" s="31">
        <v>57.26393859792904</v>
      </c>
    </row>
    <row r="9" spans="1:6" x14ac:dyDescent="0.25">
      <c r="A9" s="30">
        <v>0.05375</v>
      </c>
      <c r="B9" s="31">
        <v>20.753823890972022</v>
      </c>
      <c r="C9" s="31">
        <v>21.550091626274362</v>
      </c>
      <c r="D9" s="31">
        <v>22.59799766373874</v>
      </c>
      <c r="E9" s="31">
        <v>24.05647145736223</v>
      </c>
      <c r="F9" s="31">
        <v>26.25396721207212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1699400000</v>
      </c>
      <c r="C5" s="18">
        <v>1628100000</v>
      </c>
      <c r="D5" s="18">
        <v>1694500000</v>
      </c>
      <c r="E5" s="18">
        <v>2089300000</v>
      </c>
      <c r="F5" s="8" t="s">
        <v>85</v>
      </c>
    </row>
    <row r="6" spans="1:6" x14ac:dyDescent="0.25">
      <c r="A6" t="s">
        <v>44</v>
      </c>
      <c r="B6" s="18">
        <v>259600000</v>
      </c>
      <c r="C6" s="18">
        <v>242500000</v>
      </c>
      <c r="D6" s="18">
        <v>247500000</v>
      </c>
      <c r="E6" s="18">
        <v>444700000</v>
      </c>
      <c r="F6" s="8" t="s">
        <v>86</v>
      </c>
    </row>
    <row r="7" spans="1:6" x14ac:dyDescent="0.25">
      <c r="A7" t="s">
        <v>87</v>
      </c>
      <c r="B7" s="18">
        <v>137000000</v>
      </c>
      <c r="C7" s="18">
        <v>135800000</v>
      </c>
      <c r="D7" s="18">
        <v>126200000</v>
      </c>
      <c r="E7" s="18">
        <v>120700000</v>
      </c>
      <c r="F7" s="8" t="s">
        <v>88</v>
      </c>
    </row>
    <row r="8" spans="1:6" x14ac:dyDescent="0.25">
      <c r="A8" t="s">
        <v>89</v>
      </c>
      <c r="B8" s="18">
        <v>119900000</v>
      </c>
      <c r="C8" s="18">
        <v>181800000</v>
      </c>
      <c r="D8" s="18">
        <v>189000000</v>
      </c>
      <c r="E8" s="18">
        <v>152400000</v>
      </c>
      <c r="F8" s="8" t="s">
        <v>90</v>
      </c>
    </row>
    <row r="9" spans="1:6" x14ac:dyDescent="0.25">
      <c r="A9" t="s">
        <v>91</v>
      </c>
      <c r="B9" s="18">
        <v>7700000</v>
      </c>
      <c r="C9" s="18">
        <v>-20900000</v>
      </c>
      <c r="D9" s="18">
        <v>-29100000</v>
      </c>
      <c r="E9" s="18">
        <v>133800000</v>
      </c>
      <c r="F9" s="8" t="s">
        <v>92</v>
      </c>
    </row>
    <row r="10" spans="1:6" x14ac:dyDescent="0.25">
      <c r="A10" t="s">
        <v>93</v>
      </c>
      <c r="B10" s="18">
        <v>696600000</v>
      </c>
      <c r="C10" s="18">
        <v>699100000</v>
      </c>
      <c r="D10" s="18">
        <v>710100000</v>
      </c>
      <c r="E10" s="18">
        <v>615800000</v>
      </c>
      <c r="F10" s="8" t="s">
        <v>94</v>
      </c>
    </row>
    <row r="11" spans="1:6" x14ac:dyDescent="0.25">
      <c r="A11" t="s">
        <v>95</v>
      </c>
      <c r="B11" s="18">
        <v>172800000</v>
      </c>
      <c r="C11" s="18">
        <v>166800000</v>
      </c>
      <c r="D11" s="18">
        <v>172500000</v>
      </c>
      <c r="E11" s="18">
        <v>320600000</v>
      </c>
      <c r="F11" s="8" t="s">
        <v>96</v>
      </c>
    </row>
    <row r="12" spans="1:6" x14ac:dyDescent="0.25">
      <c r="A12" t="s">
        <v>32</v>
      </c>
      <c r="B12" s="34">
        <v>139639640</v>
      </c>
      <c r="C12" s="34">
        <v>139647577</v>
      </c>
      <c r="D12" s="34">
        <v>139820114</v>
      </c>
      <c r="E12" s="34">
        <v>139694492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2026-09-19T01:59:01Z</dcterms:modified>
</cp:coreProperties>
</file>