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<sst xmlns="http://schemas.openxmlformats.org/spreadsheetml/2006/main" count="119" uniqueCount="106">
  <si>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CRH plc (CRH)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</si>
  <si>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</si>
  <si>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</si>
  <si>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</si>
  <si>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</si>
  <si>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</si>
  <si>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</si>
  <si>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</si>
  <si>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</si>
  <si>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</si>
  <si>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</si>
  <si>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</si>
  <si>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</si>
  <si>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</si>
  <si>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</si>
  <si>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</si>
  <si>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</si>
  <si>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</si>
  <si>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</si>
  <si>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</si>
  <si>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</si>
  <si>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</si>
  <si>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</si>
  <si>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</si>
  <si>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6.6x interest cover. Book interest / average debt was lower, at 4.6%.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</si>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</sst>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0.053402109114214724</v>
      </c>
    </row>
    <row r="7" spans="1:2" x14ac:dyDescent="0.25">
      <c r="A7" t="s">
        <v>4</v>
      </c>
      <c r="B7" s="5">
        <v>0.13094380817675494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0.05075942735892018</v>
      </c>
    </row>
    <row r="10" spans="1:3" x14ac:dyDescent="0.25">
      <c r="A10" t="s">
        <v>7</v>
      </c>
      <c r="B10" s="5">
        <v>0.06086350569689372</v>
      </c>
      <c r="C10" s="6" t="s">
        <v>8</v>
      </c>
    </row>
    <row r="11" spans="1:2" x14ac:dyDescent="0.25">
      <c r="A11" t="s">
        <v>9</v>
      </c>
      <c r="B11" s="5">
        <v>0.1547283294225099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10.164273572402728</v>
      </c>
    </row>
    <row r="14" spans="1:3" x14ac:dyDescent="0.25">
      <c r="A14" t="s">
        <v>12</v>
      </c>
      <c r="B14" s="5">
        <v>0.10501766046691735</v>
      </c>
      <c r="C14" s="6" t="s">
        <v>13</v>
      </c>
    </row>
    <row r="15" spans="1:3" x14ac:dyDescent="0.25">
      <c r="A15" t="s">
        <v>14</v>
      </c>
      <c r="B15" s="5">
        <v>0.05075942735892018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</v>
      </c>
      <c r="C19" s="6" t="s">
        <v>21</v>
      </c>
    </row>
    <row r="20" spans="1:2" x14ac:dyDescent="0.25">
      <c r="A20" t="s">
        <v>22</v>
      </c>
      <c r="B20" s="9">
        <f>B17+B19*B18</f>
        <v>0.09124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60409602048</v>
      </c>
    </row>
    <row r="23" spans="1:2" x14ac:dyDescent="0.25">
      <c r="A23" t="s">
        <v>26</v>
      </c>
      <c r="B23" s="10">
        <v>19705000000</v>
      </c>
    </row>
    <row r="24" spans="1:2" x14ac:dyDescent="0.25">
      <c r="A24" t="s">
        <v>27</v>
      </c>
      <c r="B24" s="9">
        <f>B22/(B22+B23)</f>
        <v>0.7540398442197352</v>
      </c>
    </row>
    <row r="25" spans="1:2" x14ac:dyDescent="0.25">
      <c r="A25" t="s">
        <v>28</v>
      </c>
      <c r="B25" s="9">
        <f>1-B24</f>
        <v>0.24596015578026476</v>
      </c>
    </row>
    <row r="26" spans="1:2" x14ac:dyDescent="0.25">
      <c r="A26" t="s">
        <v>29</v>
      </c>
      <c r="B26" s="11">
        <f>B24*B20+B25*B21*(1-B8)</f>
        <v>0.07937675138234396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37447000000</v>
      </c>
      <c r="C29" s="6" t="s">
        <v>32</v>
      </c>
    </row>
    <row r="30" spans="1:2" x14ac:dyDescent="0.25">
      <c r="A30" t="s">
        <v>33</v>
      </c>
      <c r="B30" s="10">
        <v>15609000000</v>
      </c>
    </row>
    <row r="31" spans="1:2" x14ac:dyDescent="0.25">
      <c r="A31" t="s">
        <v>34</v>
      </c>
      <c r="B31" s="12">
        <v>677000000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0.053402109114214724</v>
      </c>
      <c r="C5" s="5">
        <v>0.0636793281496899</v>
      </c>
      <c r="D5" s="5">
        <v>0.05884441213097867</v>
      </c>
      <c r="E5" s="5">
        <v>0.05400949611226743</v>
      </c>
      <c r="F5" s="5">
        <v>0.04917458009355619</v>
      </c>
      <c r="G5" s="5">
        <v>0.04433966407484495</v>
      </c>
      <c r="H5" s="5">
        <v>0.039504748056133715</v>
      </c>
      <c r="I5" s="5">
        <v>0.03466983203742248</v>
      </c>
      <c r="J5" s="5">
        <v>0.029834916018711237</v>
      </c>
      <c r="K5" s="5">
        <v>0.025</v>
      </c>
    </row>
    <row r="6" spans="1:11" x14ac:dyDescent="0.25">
      <c r="A6" t="s">
        <v>50</v>
      </c>
      <c r="B6" s="18">
        <f>Assumptions!B29*(1+B5)</f>
        <v>39446748780</v>
      </c>
      <c r="C6" s="18">
        <f>B6*(1+C5)</f>
        <v>41958691240</v>
      </c>
      <c r="D6" s="18">
        <f>C6*(1+D5)</f>
        <v>44427725759.80304</v>
      </c>
      <c r="E6" s="18">
        <f>D6*(1+E5)</f>
        <v>46827244841.504005</v>
      </c>
      <c r="F6" s="18">
        <f>E6*(1+F5)</f>
        <v>49129954943.52311</v>
      </c>
      <c r="G6" s="18">
        <f>F6*(1+G5)</f>
        <v>51308360641.73119</v>
      </c>
      <c r="H6" s="18">
        <f>G6*(1+H5)</f>
        <v>53335284502.05603</v>
      </c>
      <c r="I6" s="18">
        <f>H6*(1+I5)</f>
        <v>55184409857.41046</v>
      </c>
      <c r="J6" s="18">
        <f>I6*(1+J5)</f>
        <v>56830832091.04845</v>
      </c>
      <c r="K6" s="18">
        <f>J6*(1+K5)</f>
        <v>58251602893.32465</v>
      </c>
    </row>
    <row r="7" spans="1:11" x14ac:dyDescent="0.25">
      <c r="A7" t="s">
        <v>4</v>
      </c>
      <c r="B7" s="9">
        <f>Assumptions!B7</f>
        <v>0.13094380817675494</v>
      </c>
      <c r="C7" s="9">
        <f>Assumptions!B7</f>
        <v>0.13094380817675494</v>
      </c>
      <c r="D7" s="9">
        <f>Assumptions!B7</f>
        <v>0.13094380817675494</v>
      </c>
      <c r="E7" s="9">
        <f>Assumptions!B7</f>
        <v>0.13094380817675494</v>
      </c>
      <c r="F7" s="9">
        <f>Assumptions!B7</f>
        <v>0.13094380817675494</v>
      </c>
      <c r="G7" s="9">
        <f>Assumptions!B7</f>
        <v>0.13094380817675494</v>
      </c>
      <c r="H7" s="9">
        <f>Assumptions!B7</f>
        <v>0.13094380817675494</v>
      </c>
      <c r="I7" s="9">
        <f>Assumptions!B7</f>
        <v>0.13094380817675494</v>
      </c>
      <c r="J7" s="9">
        <f>Assumptions!B7</f>
        <v>0.13094380817675494</v>
      </c>
      <c r="K7" s="9">
        <f>Assumptions!B7</f>
        <v>0.13094380817675494</v>
      </c>
    </row>
    <row r="8" spans="1:11" x14ac:dyDescent="0.25">
      <c r="A8" t="s">
        <v>51</v>
      </c>
      <c r="B8" s="18">
        <f>B6*B7</f>
        <v>5165307505.444962</v>
      </c>
      <c r="C8" s="18">
        <f>C6*C7</f>
        <v>5494230817.078248</v>
      </c>
      <c r="D8" s="18">
        <f>D6*D7</f>
        <v>5817535599.621123</v>
      </c>
      <c r="E8" s="18">
        <f>E6*E7</f>
        <v>6131737765.971838</v>
      </c>
      <c r="F8" s="18">
        <f>F6*F7</f>
        <v>6433263395.857303</v>
      </c>
      <c r="G8" s="18">
        <f>G6*G7</f>
        <v>6718512133.734612</v>
      </c>
      <c r="H8" s="18">
        <f>H6*H7</f>
        <v>6983925262.889875</v>
      </c>
      <c r="I8" s="18">
        <f>I6*I7</f>
        <v>7226056778.71618</v>
      </c>
      <c r="J8" s="18">
        <f>J6*J7</f>
        <v>7441645575.855617</v>
      </c>
      <c r="K8" s="18">
        <f>K6*K7</f>
        <v>7627686715.252007</v>
      </c>
    </row>
    <row r="9" spans="1:11" x14ac:dyDescent="0.25">
      <c r="A9" t="s">
        <v>52</v>
      </c>
      <c r="B9" s="18">
        <f>B8*(1-Assumptions!B8)</f>
        <v>4080592929.30152</v>
      </c>
      <c r="C9" s="18">
        <f>C8*(1-Assumptions!B8)</f>
        <v>4340442345.4918165</v>
      </c>
      <c r="D9" s="18">
        <f>D8*(1-Assumptions!B8)</f>
        <v>4595853123.700687</v>
      </c>
      <c r="E9" s="18">
        <f>E8*(1-Assumptions!B8)</f>
        <v>4844072835.117752</v>
      </c>
      <c r="F9" s="18">
        <f>F8*(1-Assumptions!B8)</f>
        <v>5082278082.727269</v>
      </c>
      <c r="G9" s="18">
        <f>G8*(1-Assumptions!B8)</f>
        <v>5307624585.650344</v>
      </c>
      <c r="H9" s="18">
        <f>H8*(1-Assumptions!B8)</f>
        <v>5517300957.6830015</v>
      </c>
      <c r="I9" s="18">
        <f>I8*(1-Assumptions!B8)</f>
        <v>5708584855.185782</v>
      </c>
      <c r="J9" s="18">
        <f>J8*(1-Assumptions!B8)</f>
        <v>5878900004.925938</v>
      </c>
      <c r="K9" s="18">
        <f>K8*(1-Assumptions!B8)</f>
        <v>6025872505.049086</v>
      </c>
    </row>
    <row r="10" spans="1:11" x14ac:dyDescent="0.25">
      <c r="A10" t="s">
        <v>53</v>
      </c>
      <c r="B10" s="18">
        <f>B6*Assumptions!B9</f>
        <v>2002294379.2439833</v>
      </c>
      <c r="C10" s="18">
        <f>C6*Assumptions!B9</f>
        <v>2129799140.0721405</v>
      </c>
      <c r="D10" s="18">
        <f>D6*Assumptions!B9</f>
        <v>2255125918.426749</v>
      </c>
      <c r="E10" s="18">
        <f>E6*Assumptions!B9</f>
        <v>2376924132.950692</v>
      </c>
      <c r="F10" s="18">
        <f>F6*Assumptions!B9</f>
        <v>2493808379.1027827</v>
      </c>
      <c r="G10" s="18">
        <f>G6*Assumptions!B9</f>
        <v>2604383004.899234</v>
      </c>
      <c r="H10" s="18">
        <f>H6*Assumptions!B9</f>
        <v>2707268499.3494544</v>
      </c>
      <c r="I10" s="18">
        <f>I6*Assumptions!B9</f>
        <v>2801129043.502105</v>
      </c>
      <c r="J10" s="18">
        <f>J6*Assumptions!B9</f>
        <v>2884700493.2725635</v>
      </c>
      <c r="K10" s="18">
        <f>K6*Assumptions!B9</f>
        <v>2956818005.6043773</v>
      </c>
    </row>
    <row r="11" spans="1:11" x14ac:dyDescent="0.25">
      <c r="A11" t="s">
        <v>54</v>
      </c>
      <c r="B11" s="18">
        <f>-B6*B19</f>
        <v>-2400867419.0954657</v>
      </c>
      <c r="C11" s="18">
        <f>-C6*C19</f>
        <v>-2621454261.1573334</v>
      </c>
      <c r="D11" s="18">
        <f>-D6*D19</f>
        <v>-2847397252.2849665</v>
      </c>
      <c r="E11" s="18">
        <f>-E6*E19</f>
        <v>-3076740473.0781407</v>
      </c>
      <c r="F11" s="18">
        <f>-F6*F19</f>
        <v>-3307310094.3337264</v>
      </c>
      <c r="G11" s="18">
        <f>-G6*G19</f>
        <v>-3536742216.0807137</v>
      </c>
      <c r="H11" s="18">
        <f>-H6*H19</f>
        <v>-3762517913.0925016</v>
      </c>
      <c r="I11" s="18">
        <f>-I6*I19</f>
        <v>-3982004966.0840445</v>
      </c>
      <c r="J11" s="18">
        <f>-J6*J19</f>
        <v>-4192505475.133327</v>
      </c>
      <c r="K11" s="18">
        <f>-K6*K19</f>
        <v>-4391308280.444236</v>
      </c>
    </row>
    <row r="12" spans="1:11" x14ac:dyDescent="0.25">
      <c r="A12" t="s">
        <v>55</v>
      </c>
      <c r="B12" s="18">
        <f>-(B6-Assumptions!B29)*Assumptions!B11</f>
        <v>-309417787.9941023</v>
      </c>
      <c r="C12" s="18">
        <f>-(C6-B6)*Assumptions!B11</f>
        <v>-388668660.44126993</v>
      </c>
      <c r="D12" s="18">
        <f>-(D6-C6)*Assumptions!B11</f>
        <v>-382029586.53563327</v>
      </c>
      <c r="E12" s="18">
        <f>-(E6-D6)*Assumptions!B11</f>
        <v>-371273578.92902553</v>
      </c>
      <c r="F12" s="18">
        <f>-(F6-E6)*Assumptions!B11</f>
        <v>-356294487.2297533</v>
      </c>
      <c r="G12" s="18">
        <f>-(G6-F6)*Assumptions!B11</f>
        <v>-337061074.4882131</v>
      </c>
      <c r="H12" s="18">
        <f>-(H6-G6)*Assumptions!B11</f>
        <v>-313622542.7746868</v>
      </c>
      <c r="I12" s="18">
        <f>-(I6-H6)*Assumptions!B11</f>
        <v>-286112077.1267961</v>
      </c>
      <c r="J12" s="18">
        <f>-(J6-I6)*Assumptions!B11</f>
        <v>-254748161.73488277</v>
      </c>
      <c r="K12" s="18">
        <f>-(K6-J6)*Assumptions!B11</f>
        <v>-219833492.72847664</v>
      </c>
    </row>
    <row r="13" spans="1:11" x14ac:dyDescent="0.25">
      <c r="A13" s="19" t="s">
        <v>56</v>
      </c>
      <c r="B13" s="20">
        <f>B9+B10+B11+B12</f>
        <v>3372602101.4559355</v>
      </c>
      <c r="C13" s="20">
        <f>C9+C10+C11+C12</f>
        <v>3460118563.965354</v>
      </c>
      <c r="D13" s="20">
        <f>D9+D10+D11+D12</f>
        <v>3621552203.306837</v>
      </c>
      <c r="E13" s="20">
        <f>E9+E10+E11+E12</f>
        <v>3772982916.061278</v>
      </c>
      <c r="F13" s="20">
        <f>F9+F10+F11+F12</f>
        <v>3912481880.2665715</v>
      </c>
      <c r="G13" s="20">
        <f>G9+G10+G11+G12</f>
        <v>4038204299.9806514</v>
      </c>
      <c r="H13" s="20">
        <f>H9+H10+H11+H12</f>
        <v>4148429001.165267</v>
      </c>
      <c r="I13" s="20">
        <f>I9+I10+I11+I12</f>
        <v>4241596855.4770465</v>
      </c>
      <c r="J13" s="20">
        <f>J9+J10+J11+J12</f>
        <v>4316346861.330292</v>
      </c>
      <c r="K13" s="20">
        <f>K9+K10+K11+K12</f>
        <v>4371548737.480751</v>
      </c>
    </row>
    <row r="14" spans="1:11" x14ac:dyDescent="0.25">
      <c r="A14" t="s">
        <v>57</v>
      </c>
      <c r="B14" s="21">
        <f>1/(1+Assumptions!$B$26)^(1-0.5*Assumptions!$B$32)</f>
        <v>0.9625282176091594</v>
      </c>
      <c r="C14" s="21">
        <f>1/(1+Assumptions!$B$26)^(2-0.5*Assumptions!$B$32)</f>
        <v>0.8917444408326024</v>
      </c>
      <c r="D14" s="21">
        <f>1/(1+Assumptions!$B$26)^(3-0.5*Assumptions!$B$32)</f>
        <v>0.8261660626751103</v>
      </c>
      <c r="E14" s="21">
        <f>1/(1+Assumptions!$B$26)^(4-0.5*Assumptions!$B$32)</f>
        <v>0.7654102810877202</v>
      </c>
      <c r="F14" s="21">
        <f>1/(1+Assumptions!$B$26)^(5-0.5*Assumptions!$B$32)</f>
        <v>0.7091224450660708</v>
      </c>
      <c r="G14" s="21">
        <f>1/(1+Assumptions!$B$26)^(6-0.5*Assumptions!$B$32)</f>
        <v>0.6569739844386187</v>
      </c>
      <c r="H14" s="21">
        <f>1/(1+Assumptions!$B$26)^(7-0.5*Assumptions!$B$32)</f>
        <v>0.6086604918970512</v>
      </c>
      <c r="I14" s="21">
        <f>1/(1+Assumptions!$B$26)^(8-0.5*Assumptions!$B$32)</f>
        <v>0.5638999460730902</v>
      </c>
      <c r="J14" s="21">
        <f>1/(1+Assumptions!$B$26)^(9-0.5*Assumptions!$B$32)</f>
        <v>0.5224310652892151</v>
      </c>
      <c r="K14" s="21">
        <f>1/(1+Assumptions!$B$26)^(10-0.5*Assumptions!$B$32)</f>
        <v>0.48401178237361914</v>
      </c>
    </row>
    <row r="15" spans="1:11" x14ac:dyDescent="0.25">
      <c r="A15" s="19" t="s">
        <v>58</v>
      </c>
      <c r="B15" s="20">
        <f>B13*B14</f>
        <v>3246224689.419287</v>
      </c>
      <c r="C15" s="20">
        <f>C13*C14</f>
        <v>3085541494.0377917</v>
      </c>
      <c r="D15" s="20">
        <f>D13*D14</f>
        <v>2992003524.57838</v>
      </c>
      <c r="E15" s="20">
        <f>E13*E14</f>
        <v>2887879914.321629</v>
      </c>
      <c r="F15" s="20">
        <f>F13*F14</f>
        <v>2774428717.2113295</v>
      </c>
      <c r="G15" s="20">
        <f>G13*G14</f>
        <v>2652995168.9354515</v>
      </c>
      <c r="H15" s="20">
        <f>H13*H14</f>
        <v>2524984836.449244</v>
      </c>
      <c r="I15" s="20">
        <f>I13*I14</f>
        <v>2391836238.0672956</v>
      </c>
      <c r="J15" s="20">
        <f>J13*J14</f>
        <v>2254993688.9225445</v>
      </c>
      <c r="K15" s="20">
        <f>K13*K14</f>
        <v>2115881096.1612027</v>
      </c>
    </row>
    <row r="17" spans="1:2" x14ac:dyDescent="0.25">
      <c r="A17" s="22" t="s">
        <v>59</v>
      </c>
      <c r="B17" s="23">
        <f>SUM(B15:K15)</f>
        <v>26926769368.104156</v>
      </c>
    </row>
    <row r="19" spans="1:11" x14ac:dyDescent="0.25">
      <c r="A19" t="s">
        <v>7</v>
      </c>
      <c r="B19" s="9">
        <f>Assumptions!$B$10+($B$20-Assumptions!$B$10)*0/9</f>
        <v>0.06086350569689372</v>
      </c>
      <c r="C19" s="9">
        <f>Assumptions!$B$10+($B$20-Assumptions!$B$10)*1/9</f>
        <v>0.06247702642017233</v>
      </c>
      <c r="D19" s="9">
        <f>Assumptions!$B$10+($B$20-Assumptions!$B$10)*2/9</f>
        <v>0.06409054714345094</v>
      </c>
      <c r="E19" s="9">
        <f>Assumptions!$B$10+($B$20-Assumptions!$B$10)*3/9</f>
        <v>0.06570406786672955</v>
      </c>
      <c r="F19" s="9">
        <f>Assumptions!$B$10+($B$20-Assumptions!$B$10)*4/9</f>
        <v>0.06731758859000816</v>
      </c>
      <c r="G19" s="9">
        <f>Assumptions!$B$10+($B$20-Assumptions!$B$10)*5/9</f>
        <v>0.06893110931328678</v>
      </c>
      <c r="H19" s="9">
        <f>Assumptions!$B$10+($B$20-Assumptions!$B$10)*6/9</f>
        <v>0.07054463003656537</v>
      </c>
      <c r="I19" s="9">
        <f>Assumptions!$B$10+($B$20-Assumptions!$B$10)*7/9</f>
        <v>0.07215815075984398</v>
      </c>
      <c r="J19" s="9">
        <f>Assumptions!$B$10+($B$20-Assumptions!$B$10)*8/9</f>
        <v>0.0737716714831226</v>
      </c>
      <c r="K19" s="9">
        <f>Assumptions!$B$10+($B$20-Assumptions!$B$10)*9/9</f>
        <v>0.0753851922064012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0.0753851922064012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4371548737.480751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6025872505.049086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0.23805519841946488</v>
      </c>
    </row>
    <row r="7" spans="1:2" x14ac:dyDescent="0.25">
      <c r="A7" t="s">
        <v>66</v>
      </c>
      <c r="B7" s="18">
        <f>-MAX(B5,0)*B6</f>
        <v>-1434490274.8398578</v>
      </c>
    </row>
    <row r="8" spans="1:2" x14ac:dyDescent="0.25">
      <c r="A8" t="s">
        <v>67</v>
      </c>
      <c r="B8" s="18">
        <f>IF(OR(Assumptions!$B$33=0,Assumptions!B12&lt;=0),B5,MAX(B5+B7,0))</f>
        <v>4591382230.209228</v>
      </c>
    </row>
    <row r="9" spans="1:2" x14ac:dyDescent="0.25">
      <c r="A9" t="s">
        <v>68</v>
      </c>
      <c r="B9" s="18">
        <f>B8*(1+Assumptions!B12)/(Assumptions!B26-Assumptions!B12)</f>
        <v>86547406130.85875</v>
      </c>
    </row>
    <row r="10" spans="1:2" x14ac:dyDescent="0.25">
      <c r="A10" t="s">
        <v>69</v>
      </c>
      <c r="B10" s="18">
        <f>B9/(1+Assumptions!B26)^(10-0.5*Assumptions!B32)</f>
        <v>41889964301.210434</v>
      </c>
    </row>
    <row r="11" spans="1:2" x14ac:dyDescent="0.25">
      <c r="A11" t="s">
        <v>70</v>
      </c>
      <c r="B11" s="18">
        <f>Forecast!B17+B10</f>
        <v>68816733669.31459</v>
      </c>
    </row>
    <row r="12" spans="1:2" x14ac:dyDescent="0.25">
      <c r="A12" t="s">
        <v>71</v>
      </c>
      <c r="B12" s="18">
        <f>-Assumptions!B30</f>
        <v>-15609000000</v>
      </c>
    </row>
    <row r="13" spans="1:2" x14ac:dyDescent="0.25">
      <c r="A13" t="s">
        <v>72</v>
      </c>
      <c r="B13" s="18">
        <f>B11+B12</f>
        <v>53207733669.31459</v>
      </c>
    </row>
    <row r="14" spans="1:2" x14ac:dyDescent="0.25">
      <c r="A14" s="19" t="s">
        <v>73</v>
      </c>
      <c r="B14" s="24">
        <f>B13/Assumptions!B31</f>
        <v>78.59340276117369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10584504720.856384</v>
      </c>
    </row>
    <row r="18" spans="1:2" x14ac:dyDescent="0.25">
      <c r="A18" t="s">
        <v>68</v>
      </c>
      <c r="B18" s="18">
        <f>B17*Assumptions!B13</f>
        <v>107583801611.17245</v>
      </c>
    </row>
    <row r="19" spans="1:2" x14ac:dyDescent="0.25">
      <c r="A19" t="s">
        <v>69</v>
      </c>
      <c r="B19" s="18">
        <f>B18/(1+Assumptions!B26)^(10-0.5*Assumptions!B32)</f>
        <v>52071827572.35342</v>
      </c>
    </row>
    <row r="20" spans="1:2" x14ac:dyDescent="0.25">
      <c r="A20" t="s">
        <v>70</v>
      </c>
      <c r="B20" s="18">
        <f>Forecast!B17+B19</f>
        <v>78998596940.45758</v>
      </c>
    </row>
    <row r="21" spans="1:2" x14ac:dyDescent="0.25">
      <c r="A21" t="s">
        <v>71</v>
      </c>
      <c r="B21" s="18">
        <f>-Assumptions!B30</f>
        <v>-15609000000</v>
      </c>
    </row>
    <row r="22" spans="1:2" x14ac:dyDescent="0.25">
      <c r="A22" t="s">
        <v>72</v>
      </c>
      <c r="B22" s="18">
        <f>B20+B21</f>
        <v>63389596940.45758</v>
      </c>
    </row>
    <row r="23" spans="1:2" x14ac:dyDescent="0.25">
      <c r="A23" s="19" t="s">
        <v>73</v>
      </c>
      <c r="B23" s="25">
        <f>B22/Assumptions!B31</f>
        <v>93.63308262992257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90.81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78.59340276117369</v>
      </c>
    </row>
    <row r="29" spans="1:2" x14ac:dyDescent="0.25">
      <c r="A29" s="19" t="s">
        <v>81</v>
      </c>
      <c r="B29" s="11">
        <f>B28/B26-1</f>
        <v>-0.13452920646213318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0.059377</v>
      </c>
      <c r="B5" s="31">
        <v>123.87724889359646</v>
      </c>
      <c r="C5" s="31">
        <v>129.59108821981155</v>
      </c>
      <c r="D5" s="31">
        <v>137.2768631494431</v>
      </c>
      <c r="E5" s="31">
        <v>147.94145096918643</v>
      </c>
      <c r="F5" s="31">
        <v>163.4178169065788</v>
      </c>
    </row>
    <row r="6" spans="1:6" x14ac:dyDescent="0.25">
      <c r="A6" s="30">
        <v>0.069377</v>
      </c>
      <c r="B6" s="31">
        <v>96.24326303513325</v>
      </c>
      <c r="C6" s="31">
        <v>98.41810236456571</v>
      </c>
      <c r="D6" s="31">
        <v>101.30970318307509</v>
      </c>
      <c r="E6" s="31">
        <v>105.19110361789697</v>
      </c>
      <c r="F6" s="31">
        <v>110.49419110088081</v>
      </c>
    </row>
    <row r="7" spans="1:6" x14ac:dyDescent="0.25">
      <c r="A7" s="30">
        <v>0.079377</v>
      </c>
      <c r="B7" s="31">
        <v>77.25149503190413</v>
      </c>
      <c r="C7" s="31">
        <v>77.78566530610433</v>
      </c>
      <c r="D7" s="32">
        <v>78.59294209301471</v>
      </c>
      <c r="E7" s="31">
        <v>79.75629109915157</v>
      </c>
      <c r="F7" s="31">
        <v>81.39606934027523</v>
      </c>
    </row>
    <row r="8" spans="1:6" x14ac:dyDescent="0.25">
      <c r="A8" s="30">
        <v>0.089377</v>
      </c>
      <c r="B8" s="31">
        <v>63.41190701958507</v>
      </c>
      <c r="C8" s="31">
        <v>63.13272966621443</v>
      </c>
      <c r="D8" s="31">
        <v>62.94993397256396</v>
      </c>
      <c r="E8" s="31">
        <v>62.887868169359464</v>
      </c>
      <c r="F8" s="31">
        <v>62.97983582900631</v>
      </c>
    </row>
    <row r="9" spans="1:6" x14ac:dyDescent="0.25">
      <c r="A9" s="30">
        <v>0.099377</v>
      </c>
      <c r="B9" s="31">
        <v>52.88931361339856</v>
      </c>
      <c r="C9" s="31">
        <v>52.196941937725725</v>
      </c>
      <c r="D9" s="31">
        <v>51.52601718429746</v>
      </c>
      <c r="E9" s="31">
        <v>50.881176391810634</v>
      </c>
      <c r="F9" s="31">
        <v>50.26849718758739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37447000000</v>
      </c>
      <c r="C5" s="18">
        <v>35572000000</v>
      </c>
      <c r="D5" s="18">
        <v>34949000000</v>
      </c>
      <c r="E5" s="18">
        <v>32723000000</v>
      </c>
      <c r="F5" s="6" t="s">
        <v>91</v>
      </c>
    </row>
    <row r="6" spans="1:6" x14ac:dyDescent="0.25">
      <c r="A6" t="s">
        <v>51</v>
      </c>
      <c r="B6" s="18">
        <v>5323000000</v>
      </c>
      <c r="C6" s="18">
        <v>4922000000</v>
      </c>
      <c r="D6" s="18">
        <v>4487000000</v>
      </c>
      <c r="E6" s="18">
        <v>3759000000</v>
      </c>
      <c r="F6" s="6" t="s">
        <v>92</v>
      </c>
    </row>
    <row r="7" spans="1:6" x14ac:dyDescent="0.25">
      <c r="A7" t="s">
        <v>93</v>
      </c>
      <c r="B7" s="18">
        <v>2156000000</v>
      </c>
      <c r="C7" s="18">
        <v>1798000000</v>
      </c>
      <c r="D7" s="18">
        <v>1633000000</v>
      </c>
      <c r="E7" s="18">
        <v>1577000000</v>
      </c>
      <c r="F7" s="6" t="s">
        <v>94</v>
      </c>
    </row>
    <row r="8" spans="1:6" x14ac:dyDescent="0.25">
      <c r="A8" t="s">
        <v>95</v>
      </c>
      <c r="B8" s="18">
        <v>2713000000</v>
      </c>
      <c r="C8" s="18">
        <v>2578000000</v>
      </c>
      <c r="D8" s="18">
        <v>1817000000</v>
      </c>
      <c r="E8" s="18">
        <v>1523000000</v>
      </c>
      <c r="F8" s="6" t="s">
        <v>96</v>
      </c>
    </row>
    <row r="9" spans="1:6" x14ac:dyDescent="0.25">
      <c r="A9" t="s">
        <v>97</v>
      </c>
      <c r="B9" s="18">
        <v>714000000</v>
      </c>
      <c r="C9" s="18">
        <v>783000000</v>
      </c>
      <c r="D9" s="18">
        <v>447000000</v>
      </c>
      <c r="E9" s="18">
        <v>630000000</v>
      </c>
      <c r="F9" s="6" t="s">
        <v>98</v>
      </c>
    </row>
    <row r="10" spans="1:6" x14ac:dyDescent="0.25">
      <c r="A10" t="s">
        <v>99</v>
      </c>
      <c r="B10" s="18">
        <v>19705000000</v>
      </c>
      <c r="C10" s="18">
        <v>15564000000</v>
      </c>
      <c r="D10" s="18">
        <v>13022000000</v>
      </c>
      <c r="E10" s="18">
        <v>10874000000</v>
      </c>
      <c r="F10" s="6" t="s">
        <v>100</v>
      </c>
    </row>
    <row r="11" spans="1:6" x14ac:dyDescent="0.25">
      <c r="A11" t="s">
        <v>101</v>
      </c>
      <c r="B11" s="18">
        <v>4096000000</v>
      </c>
      <c r="C11" s="18">
        <v>3720000000</v>
      </c>
      <c r="D11" s="18">
        <v>6341000000</v>
      </c>
      <c r="E11" s="18">
        <v>5931000000</v>
      </c>
      <c r="F11" s="6" t="s">
        <v>102</v>
      </c>
    </row>
    <row r="12" spans="1:6" x14ac:dyDescent="0.25">
      <c r="A12" t="s">
        <v>34</v>
      </c>
      <c r="B12" s="34">
        <v>677000000</v>
      </c>
      <c r="C12" s="34">
        <v>689500000</v>
      </c>
      <c r="D12" s="34">
        <v>729200000</v>
      </c>
      <c r="E12" s="34">
        <v>764100000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