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<sst xmlns="http://schemas.openxmlformats.org/spreadsheetml/2006/main" count="111" uniqueCount="99">
  <si>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CRH plc (CRH)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</si>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</sst>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0.045975003842854356</v>
      </c>
    </row>
    <row r="7" spans="1:2" x14ac:dyDescent="0.25">
      <c r="A7" t="s">
        <v>5</v>
      </c>
      <c r="B7" s="6">
        <v>0.13094380817675494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0.05075942735892018</v>
      </c>
    </row>
    <row r="10" spans="1:2" x14ac:dyDescent="0.25">
      <c r="A10" t="s">
        <v>8</v>
      </c>
      <c r="B10" s="6">
        <v>0.06086350569689372</v>
      </c>
    </row>
    <row r="11" spans="1:2" x14ac:dyDescent="0.25">
      <c r="A11" t="s">
        <v>9</v>
      </c>
      <c r="B11" s="6">
        <v>0.3808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9.750402319026607</v>
      </c>
    </row>
    <row r="14" spans="1:3" x14ac:dyDescent="0.25">
      <c r="A14" t="s">
        <v>12</v>
      </c>
      <c r="B14" s="6">
        <v>0.10501766046691735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1.13266</v>
      </c>
      <c r="C19" s="8" t="s">
        <v>19</v>
      </c>
    </row>
    <row r="20" spans="1:2" x14ac:dyDescent="0.25">
      <c r="A20" t="s">
        <v>20</v>
      </c>
      <c r="B20" s="10">
        <f>B17+B19*B18</f>
        <v>0.1122763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57314258944</v>
      </c>
    </row>
    <row r="23" spans="1:2" x14ac:dyDescent="0.25">
      <c r="A23" t="s">
        <v>24</v>
      </c>
      <c r="B23" s="11">
        <v>19705000000</v>
      </c>
    </row>
    <row r="24" spans="1:2" x14ac:dyDescent="0.25">
      <c r="A24" t="s">
        <v>25</v>
      </c>
      <c r="B24" s="10">
        <f>B22/(B22+B23)</f>
        <v>0.7441549000837917</v>
      </c>
    </row>
    <row r="25" spans="1:2" x14ac:dyDescent="0.25">
      <c r="A25" t="s">
        <v>26</v>
      </c>
      <c r="B25" s="10">
        <f>1-B24</f>
        <v>0.2558450999162083</v>
      </c>
    </row>
    <row r="26" spans="1:2" x14ac:dyDescent="0.25">
      <c r="A26" t="s">
        <v>27</v>
      </c>
      <c r="B26" s="12">
        <f>B24*B20+B25*B21*(1-B8)</f>
        <v>0.09365279790238937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37447000000</v>
      </c>
      <c r="C29" s="8" t="s">
        <v>30</v>
      </c>
    </row>
    <row r="30" spans="1:2" x14ac:dyDescent="0.25">
      <c r="A30" t="s">
        <v>31</v>
      </c>
      <c r="B30" s="11">
        <v>15609000000</v>
      </c>
    </row>
    <row r="31" spans="1:2" x14ac:dyDescent="0.25">
      <c r="A31" t="s">
        <v>32</v>
      </c>
      <c r="B31" s="13">
        <v>677000000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0.045975003842854356</v>
      </c>
      <c r="C5" s="10">
        <f>Assumptions!B6</f>
        <v>0.045975003842854356</v>
      </c>
      <c r="D5" s="10">
        <f>Assumptions!B6</f>
        <v>0.045975003842854356</v>
      </c>
      <c r="E5" s="10">
        <f>Assumptions!B6</f>
        <v>0.045975003842854356</v>
      </c>
      <c r="F5" s="10">
        <f>Assumptions!B6</f>
        <v>0.045975003842854356</v>
      </c>
    </row>
    <row r="6" spans="1:6" x14ac:dyDescent="0.25">
      <c r="A6" t="s">
        <v>43</v>
      </c>
      <c r="B6" s="18">
        <f>Assumptions!B29*(1+B5)</f>
        <v>39168625968.903366</v>
      </c>
      <c r="C6" s="18">
        <f>B6*(1+C5)</f>
        <v>40969403698.343025</v>
      </c>
      <c r="D6" s="18">
        <f>C6*(1+D5)</f>
        <v>42852972190.8138</v>
      </c>
      <c r="E6" s="18">
        <f>D6*(1+E5)</f>
        <v>44823137751.964195</v>
      </c>
      <c r="F6" s="18">
        <f>E6*(1+F5)</f>
        <v>46883881682.35954</v>
      </c>
    </row>
    <row r="7" spans="1:6" x14ac:dyDescent="0.25">
      <c r="A7" t="s">
        <v>5</v>
      </c>
      <c r="B7" s="10">
        <f>Assumptions!B7</f>
        <v>0.13094380817675494</v>
      </c>
      <c r="C7" s="10">
        <f>Assumptions!B7</f>
        <v>0.13094380817675494</v>
      </c>
      <c r="D7" s="10">
        <f>Assumptions!B7</f>
        <v>0.13094380817675494</v>
      </c>
      <c r="E7" s="10">
        <f>Assumptions!B7</f>
        <v>0.13094380817675494</v>
      </c>
      <c r="F7" s="10">
        <f>Assumptions!B7</f>
        <v>0.13094380817675494</v>
      </c>
    </row>
    <row r="8" spans="1:6" x14ac:dyDescent="0.25">
      <c r="A8" t="s">
        <v>44</v>
      </c>
      <c r="B8" s="18">
        <f>B6*B7</f>
        <v>5128889045.419145</v>
      </c>
      <c r="C8" s="18">
        <f>C6*C7</f>
        <v>5364689738.991863</v>
      </c>
      <c r="D8" s="18">
        <f>D6*D7</f>
        <v>5611331370.357736</v>
      </c>
      <c r="E8" s="18">
        <f>E6*E7</f>
        <v>5869312351.673462</v>
      </c>
      <c r="F8" s="18">
        <f>F6*F7</f>
        <v>6139154009.596562</v>
      </c>
    </row>
    <row r="9" spans="1:6" x14ac:dyDescent="0.25">
      <c r="A9" t="s">
        <v>45</v>
      </c>
      <c r="B9" s="18">
        <f>B8*(1-Assumptions!B8)</f>
        <v>4051822345.8811245</v>
      </c>
      <c r="C9" s="18">
        <f>C8*(1-Assumptions!B8)</f>
        <v>4238104893.803572</v>
      </c>
      <c r="D9" s="18">
        <f>D8*(1-Assumptions!B8)</f>
        <v>4432951782.582611</v>
      </c>
      <c r="E9" s="18">
        <f>E8*(1-Assumptions!B8)</f>
        <v>4636756757.822035</v>
      </c>
      <c r="F9" s="18">
        <f>F8*(1-Assumptions!B8)</f>
        <v>4849931667.5812845</v>
      </c>
    </row>
    <row r="10" spans="1:6" x14ac:dyDescent="0.25">
      <c r="A10" t="s">
        <v>46</v>
      </c>
      <c r="B10" s="18">
        <f>B6*Assumptions!B9</f>
        <v>1988177024.617265</v>
      </c>
      <c r="C10" s="18">
        <f>C6*Assumptions!B9</f>
        <v>2079583470.9643185</v>
      </c>
      <c r="D10" s="18">
        <f>D6*Assumptions!B9</f>
        <v>2175192329.0334396</v>
      </c>
      <c r="E10" s="18">
        <f>E6*Assumptions!B9</f>
        <v>2275196804.7196994</v>
      </c>
      <c r="F10" s="18">
        <f>F6*Assumptions!B9</f>
        <v>2379798986.5599375</v>
      </c>
    </row>
    <row r="11" spans="1:6" x14ac:dyDescent="0.25">
      <c r="A11" t="s">
        <v>47</v>
      </c>
      <c r="B11" s="18">
        <f>-B6*Assumptions!B10</f>
        <v>-2383939889.797849</v>
      </c>
      <c r="C11" s="18">
        <f>-C6*Assumptions!B10</f>
        <v>-2493541535.3924394</v>
      </c>
      <c r="D11" s="18">
        <f>-D6*Assumptions!B10</f>
        <v>-2608182117.0644236</v>
      </c>
      <c r="E11" s="18">
        <f>-E6*Assumptions!B10</f>
        <v>-2728093299.919325</v>
      </c>
      <c r="F11" s="18">
        <f>-F6*Assumptions!B10</f>
        <v>-2853517399.866781</v>
      </c>
    </row>
    <row r="12" spans="1:6" x14ac:dyDescent="0.25">
      <c r="A12" t="s">
        <v>48</v>
      </c>
      <c r="B12" s="18">
        <f>-(B6-Assumptions!B29)*Assumptions!B11</f>
        <v>-655595168.9584018</v>
      </c>
      <c r="C12" s="18">
        <f>-(C6-B6)*Assumptions!B11</f>
        <v>-685736159.3706223</v>
      </c>
      <c r="D12" s="18">
        <f>-(D6-C6)*Assumptions!B11</f>
        <v>-717262881.9328699</v>
      </c>
      <c r="E12" s="18">
        <f>-(E6-D6)*Assumptions!B11</f>
        <v>-750239045.6860718</v>
      </c>
      <c r="F12" s="18">
        <f>-(F6-E6)*Assumptions!B11</f>
        <v>-784731288.6945484</v>
      </c>
    </row>
    <row r="13" spans="1:6" x14ac:dyDescent="0.25">
      <c r="A13" s="19" t="s">
        <v>49</v>
      </c>
      <c r="B13" s="20">
        <f>B9+B10+B11+B12</f>
        <v>3000464311.7421384</v>
      </c>
      <c r="C13" s="20">
        <f>C9+C10+C11+C12</f>
        <v>3138410670.0048294</v>
      </c>
      <c r="D13" s="20">
        <f>D9+D10+D11+D12</f>
        <v>3282699112.6187572</v>
      </c>
      <c r="E13" s="20">
        <f>E9+E10+E11+E12</f>
        <v>3433621216.936338</v>
      </c>
      <c r="F13" s="20">
        <f>F9+F10+F11+F12</f>
        <v>3591481965.579892</v>
      </c>
    </row>
    <row r="14" spans="1:6" x14ac:dyDescent="0.25">
      <c r="A14" t="s">
        <v>50</v>
      </c>
      <c r="B14" s="21">
        <f>1/(1+Assumptions!$B$26)^(1-0.5*Assumptions!$B$32)</f>
        <v>0.9562253785201944</v>
      </c>
      <c r="C14" s="21">
        <f>1/(1+Assumptions!$B$26)^(2-0.5*Assumptions!$B$32)</f>
        <v>0.8743409063225743</v>
      </c>
      <c r="D14" s="21">
        <f>1/(1+Assumptions!$B$26)^(3-0.5*Assumptions!$B$32)</f>
        <v>0.799468449218571</v>
      </c>
      <c r="E14" s="21">
        <f>1/(1+Assumptions!$B$26)^(4-0.5*Assumptions!$B$32)</f>
        <v>0.731007547141049</v>
      </c>
      <c r="F14" s="21">
        <f>1/(1+Assumptions!$B$26)^(5-0.5*Assumptions!$B$32)</f>
        <v>0.6684091592350984</v>
      </c>
    </row>
    <row r="15" spans="1:6" x14ac:dyDescent="0.25">
      <c r="A15" s="19" t="s">
        <v>51</v>
      </c>
      <c r="B15" s="20">
        <f>B13*B14</f>
        <v>2869120122.231961</v>
      </c>
      <c r="C15" s="20">
        <f>C13*C14</f>
        <v>2744040829.62446</v>
      </c>
      <c r="D15" s="20">
        <f>D13*D14</f>
        <v>2624414368.816497</v>
      </c>
      <c r="E15" s="20">
        <f>E13*E14</f>
        <v>2510003023.604096</v>
      </c>
      <c r="F15" s="20">
        <f>F13*F14</f>
        <v>2400579441.021274</v>
      </c>
    </row>
    <row r="17" spans="1:2" x14ac:dyDescent="0.25">
      <c r="A17" s="22" t="s">
        <v>52</v>
      </c>
      <c r="B17" s="23">
        <f>SUM(B15:F15)</f>
        <v>13148157785.298288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3591481965.579892</v>
      </c>
    </row>
    <row r="5" spans="1:2" x14ac:dyDescent="0.25">
      <c r="A5" t="s">
        <v>56</v>
      </c>
      <c r="B5" s="18">
        <f>IF(Assumptions!$B$33=0,B4,B4-Forecast!F11-Forecast!F10-Forecast!F12)</f>
        <v>4849931667.5812845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0.23805519841946488</v>
      </c>
    </row>
    <row r="7" spans="1:2" x14ac:dyDescent="0.25">
      <c r="A7" t="s">
        <v>58</v>
      </c>
      <c r="B7" s="18">
        <f>-MAX(Forecast!F9,0)*B6</f>
        <v>-1154551445.446909</v>
      </c>
    </row>
    <row r="8" spans="1:2" x14ac:dyDescent="0.25">
      <c r="A8" t="s">
        <v>59</v>
      </c>
      <c r="B8" s="18">
        <f>IF(OR(Assumptions!$B$33=0,Assumptions!B12&lt;=0),B5,MAX(B5+B7,0))</f>
        <v>3695380222.1343756</v>
      </c>
    </row>
    <row r="9" spans="1:2" x14ac:dyDescent="0.25">
      <c r="A9" t="s">
        <v>60</v>
      </c>
      <c r="B9" s="18">
        <f>B8*(1+Assumptions!B12)/(Assumptions!B26-Assumptions!B12)</f>
        <v>55172765617.98956</v>
      </c>
    </row>
    <row r="10" spans="1:2" x14ac:dyDescent="0.25">
      <c r="A10" t="s">
        <v>61</v>
      </c>
      <c r="B10" s="18">
        <f>B9/(1+Assumptions!B26)^(5-0.5*Assumptions!B32)</f>
        <v>36877981879.395546</v>
      </c>
    </row>
    <row r="11" spans="1:2" x14ac:dyDescent="0.25">
      <c r="A11" t="s">
        <v>62</v>
      </c>
      <c r="B11" s="18">
        <f>Forecast!B17+B10</f>
        <v>50026139664.69383</v>
      </c>
    </row>
    <row r="12" spans="1:2" x14ac:dyDescent="0.25">
      <c r="A12" t="s">
        <v>63</v>
      </c>
      <c r="B12" s="18">
        <f>-Assumptions!B30</f>
        <v>-15609000000</v>
      </c>
    </row>
    <row r="13" spans="1:2" x14ac:dyDescent="0.25">
      <c r="A13" t="s">
        <v>64</v>
      </c>
      <c r="B13" s="18">
        <f>B11+B12</f>
        <v>34417139664.69383</v>
      </c>
    </row>
    <row r="14" spans="1:2" x14ac:dyDescent="0.25">
      <c r="A14" s="19" t="s">
        <v>65</v>
      </c>
      <c r="B14" s="24">
        <f>B13/Assumptions!B31</f>
        <v>50.83772476321098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8518952996.1565</v>
      </c>
    </row>
    <row r="18" spans="1:2" x14ac:dyDescent="0.25">
      <c r="A18" t="s">
        <v>60</v>
      </c>
      <c r="B18" s="18">
        <f>B17*Assumptions!B13</f>
        <v>83063219049.403</v>
      </c>
    </row>
    <row r="19" spans="1:2" x14ac:dyDescent="0.25">
      <c r="A19" t="s">
        <v>61</v>
      </c>
      <c r="B19" s="18">
        <f>B18/(1+Assumptions!B26)^(5-0.5*Assumptions!B32)</f>
        <v>55520216408.172264</v>
      </c>
    </row>
    <row r="20" spans="1:2" x14ac:dyDescent="0.25">
      <c r="A20" t="s">
        <v>62</v>
      </c>
      <c r="B20" s="18">
        <f>Forecast!B17+B19</f>
        <v>68668374193.47055</v>
      </c>
    </row>
    <row r="21" spans="1:2" x14ac:dyDescent="0.25">
      <c r="A21" t="s">
        <v>63</v>
      </c>
      <c r="B21" s="18">
        <f>-Assumptions!B30</f>
        <v>-15609000000</v>
      </c>
    </row>
    <row r="22" spans="1:2" x14ac:dyDescent="0.25">
      <c r="A22" t="s">
        <v>64</v>
      </c>
      <c r="B22" s="18">
        <f>B20+B21</f>
        <v>53059374193.47055</v>
      </c>
    </row>
    <row r="23" spans="1:2" x14ac:dyDescent="0.25">
      <c r="A23" s="19" t="s">
        <v>65</v>
      </c>
      <c r="B23" s="25">
        <f>B22/Assumptions!B31</f>
        <v>78.3742602562342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86.15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50.83772476321098</v>
      </c>
    </row>
    <row r="29" spans="1:2" x14ac:dyDescent="0.25">
      <c r="A29" s="19" t="s">
        <v>73</v>
      </c>
      <c r="B29" s="12">
        <f>B28/B26-1</f>
        <v>-0.40989292207532235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0.073653</v>
      </c>
      <c r="B5" s="31">
        <v>74.43490987920906</v>
      </c>
      <c r="C5" s="31">
        <v>77.33349549322331</v>
      </c>
      <c r="D5" s="31">
        <v>80.77693184658443</v>
      </c>
      <c r="E5" s="31">
        <v>84.95244000291251</v>
      </c>
      <c r="F5" s="31">
        <v>90.14411374650632</v>
      </c>
    </row>
    <row r="6" spans="1:6" x14ac:dyDescent="0.25">
      <c r="A6" s="30">
        <v>0.083653</v>
      </c>
      <c r="B6" s="31">
        <v>60.0446905996332</v>
      </c>
      <c r="C6" s="31">
        <v>61.54109073648827</v>
      </c>
      <c r="D6" s="31">
        <v>63.252108877900824</v>
      </c>
      <c r="E6" s="31">
        <v>65.23774670259088</v>
      </c>
      <c r="F6" s="31">
        <v>67.58267103992482</v>
      </c>
    </row>
    <row r="7" spans="1:6" x14ac:dyDescent="0.25">
      <c r="A7" s="30">
        <v>0.093653</v>
      </c>
      <c r="B7" s="31">
        <v>49.33203751163586</v>
      </c>
      <c r="C7" s="31">
        <v>50.04915041775031</v>
      </c>
      <c r="D7" s="32">
        <v>50.83751045938992</v>
      </c>
      <c r="E7" s="31">
        <v>51.71390721493871</v>
      </c>
      <c r="F7" s="31">
        <v>52.70085531636161</v>
      </c>
    </row>
    <row r="8" spans="1:6" x14ac:dyDescent="0.25">
      <c r="A8" s="30">
        <v>0.103653</v>
      </c>
      <c r="B8" s="31">
        <v>41.05152322356289</v>
      </c>
      <c r="C8" s="31">
        <v>41.31479554127835</v>
      </c>
      <c r="D8" s="31">
        <v>41.58371820520657</v>
      </c>
      <c r="E8" s="31">
        <v>41.85944195181718</v>
      </c>
      <c r="F8" s="31">
        <v>42.14345275026276</v>
      </c>
    </row>
    <row r="9" spans="1:6" x14ac:dyDescent="0.25">
      <c r="A9" s="30">
        <v>0.113653</v>
      </c>
      <c r="B9" s="31">
        <v>34.955531405265525</v>
      </c>
      <c r="C9" s="31">
        <v>35.149692199793854</v>
      </c>
      <c r="D9" s="31">
        <v>35.34385299432218</v>
      </c>
      <c r="E9" s="31">
        <v>35.53801378885051</v>
      </c>
      <c r="F9" s="31">
        <v>35.732174583378836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37447000000</v>
      </c>
      <c r="C5" s="18">
        <v>35572000000</v>
      </c>
      <c r="D5" s="18">
        <v>34949000000</v>
      </c>
      <c r="E5" s="18">
        <v>32723000000</v>
      </c>
      <c r="F5" s="8" t="s">
        <v>84</v>
      </c>
    </row>
    <row r="6" spans="1:6" x14ac:dyDescent="0.25">
      <c r="A6" t="s">
        <v>44</v>
      </c>
      <c r="B6" s="18">
        <v>5323000000</v>
      </c>
      <c r="C6" s="18">
        <v>4922000000</v>
      </c>
      <c r="D6" s="18">
        <v>4487000000</v>
      </c>
      <c r="E6" s="18">
        <v>3759000000</v>
      </c>
      <c r="F6" s="8" t="s">
        <v>85</v>
      </c>
    </row>
    <row r="7" spans="1:6" x14ac:dyDescent="0.25">
      <c r="A7" t="s">
        <v>86</v>
      </c>
      <c r="B7" s="18">
        <v>2156000000</v>
      </c>
      <c r="C7" s="18">
        <v>1798000000</v>
      </c>
      <c r="D7" s="18">
        <v>1633000000</v>
      </c>
      <c r="E7" s="18">
        <v>1577000000</v>
      </c>
      <c r="F7" s="8" t="s">
        <v>87</v>
      </c>
    </row>
    <row r="8" spans="1:6" x14ac:dyDescent="0.25">
      <c r="A8" t="s">
        <v>88</v>
      </c>
      <c r="B8" s="18">
        <v>2713000000</v>
      </c>
      <c r="C8" s="18">
        <v>2578000000</v>
      </c>
      <c r="D8" s="18">
        <v>1817000000</v>
      </c>
      <c r="E8" s="18">
        <v>1523000000</v>
      </c>
      <c r="F8" s="8" t="s">
        <v>89</v>
      </c>
    </row>
    <row r="9" spans="1:6" x14ac:dyDescent="0.25">
      <c r="A9" t="s">
        <v>90</v>
      </c>
      <c r="B9" s="18">
        <v>714000000</v>
      </c>
      <c r="C9" s="18">
        <v>783000000</v>
      </c>
      <c r="D9" s="18">
        <v>447000000</v>
      </c>
      <c r="E9" s="18">
        <v>630000000</v>
      </c>
      <c r="F9" s="8" t="s">
        <v>91</v>
      </c>
    </row>
    <row r="10" spans="1:6" x14ac:dyDescent="0.25">
      <c r="A10" t="s">
        <v>92</v>
      </c>
      <c r="B10" s="18">
        <v>19705000000</v>
      </c>
      <c r="C10" s="18">
        <v>15564000000</v>
      </c>
      <c r="D10" s="18">
        <v>13022000000</v>
      </c>
      <c r="E10" s="18">
        <v>10874000000</v>
      </c>
      <c r="F10" s="8" t="s">
        <v>93</v>
      </c>
    </row>
    <row r="11" spans="1:6" x14ac:dyDescent="0.25">
      <c r="A11" t="s">
        <v>94</v>
      </c>
      <c r="B11" s="18">
        <v>4096000000</v>
      </c>
      <c r="C11" s="18">
        <v>3720000000</v>
      </c>
      <c r="D11" s="18">
        <v>6341000000</v>
      </c>
      <c r="E11" s="18">
        <v>5931000000</v>
      </c>
      <c r="F11" s="8" t="s">
        <v>95</v>
      </c>
    </row>
    <row r="12" spans="1:6" x14ac:dyDescent="0.25">
      <c r="A12" t="s">
        <v>32</v>
      </c>
      <c r="B12" s="34">
        <v>677000000</v>
      </c>
      <c r="C12" s="34">
        <v>689500000</v>
      </c>
      <c r="D12" s="34">
        <v>729200000</v>
      </c>
      <c r="E12" s="34">
        <v>764100000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2026-09-19T02:00:34Z</dcterms:modified>
</cp:coreProperties>
</file>