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<sst xmlns="http://schemas.openxmlformats.org/spreadsheetml/2006/main" count="111" uniqueCount="99">
  <si>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Charles River Laboratories International, Inc. (CRL)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</si>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</sst>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0.0032857552523495315</v>
      </c>
    </row>
    <row r="7" spans="1:2" x14ac:dyDescent="0.25">
      <c r="A7" t="s">
        <v>5</v>
      </c>
      <c r="B7" s="6">
        <v>0.13058112722527984</v>
      </c>
    </row>
    <row r="8" spans="1:2" x14ac:dyDescent="0.25">
      <c r="A8" t="s">
        <v>6</v>
      </c>
      <c r="B8" s="6">
        <v>0.20928045047488952</v>
      </c>
    </row>
    <row r="9" spans="1:2" x14ac:dyDescent="0.25">
      <c r="A9" t="s">
        <v>7</v>
      </c>
      <c r="B9" s="6">
        <v>0.08556390694429789</v>
      </c>
    </row>
    <row r="10" spans="1:2" x14ac:dyDescent="0.25">
      <c r="A10" t="s">
        <v>8</v>
      </c>
      <c r="B10" s="6">
        <v>0.06772737782192417</v>
      </c>
    </row>
    <row r="11" spans="1:2" x14ac:dyDescent="0.25">
      <c r="A11" t="s">
        <v>9</v>
      </c>
      <c r="B11" s="6">
        <v>0.4068830005490219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19.578837404033575</v>
      </c>
    </row>
    <row r="14" spans="1:3" x14ac:dyDescent="0.25">
      <c r="A14" t="s">
        <v>12</v>
      </c>
      <c r="B14" s="6">
        <v>0.10696132528235104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1.27135</v>
      </c>
      <c r="C19" s="8" t="s">
        <v>19</v>
      </c>
    </row>
    <row r="20" spans="1:2" x14ac:dyDescent="0.25">
      <c r="A20" t="s">
        <v>20</v>
      </c>
      <c r="B20" s="10">
        <f>B17+B19*B18</f>
        <v>0.11990424999999999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13393518592</v>
      </c>
    </row>
    <row r="23" spans="1:2" x14ac:dyDescent="0.25">
      <c r="A23" t="s">
        <v>24</v>
      </c>
      <c r="B23" s="11">
        <v>2570408000</v>
      </c>
    </row>
    <row r="24" spans="1:2" x14ac:dyDescent="0.25">
      <c r="A24" t="s">
        <v>25</v>
      </c>
      <c r="B24" s="10">
        <f>B22/(B22+B23)</f>
        <v>0.8389864808518909</v>
      </c>
    </row>
    <row r="25" spans="1:2" x14ac:dyDescent="0.25">
      <c r="A25" t="s">
        <v>26</v>
      </c>
      <c r="B25" s="10">
        <f>1-B24</f>
        <v>0.16101351914810913</v>
      </c>
    </row>
    <row r="26" spans="1:2" x14ac:dyDescent="0.25">
      <c r="A26" t="s">
        <v>27</v>
      </c>
      <c r="B26" s="12">
        <f>B24*B20+B25*B21*(1-B8)</f>
        <v>0.10696132528235104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4015382000</v>
      </c>
      <c r="C29" s="8" t="s">
        <v>30</v>
      </c>
    </row>
    <row r="30" spans="1:2" x14ac:dyDescent="0.25">
      <c r="A30" t="s">
        <v>31</v>
      </c>
      <c r="B30" s="11">
        <v>2356638000</v>
      </c>
    </row>
    <row r="31" spans="1:2" x14ac:dyDescent="0.25">
      <c r="A31" t="s">
        <v>32</v>
      </c>
      <c r="B31" s="13">
        <v>49564000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0.0032857552523495315</v>
      </c>
      <c r="C5" s="10">
        <f>Assumptions!B6</f>
        <v>0.0032857552523495315</v>
      </c>
      <c r="D5" s="10">
        <f>Assumptions!B6</f>
        <v>0.0032857552523495315</v>
      </c>
      <c r="E5" s="10">
        <f>Assumptions!B6</f>
        <v>0.0032857552523495315</v>
      </c>
      <c r="F5" s="10">
        <f>Assumptions!B6</f>
        <v>0.0032857552523495315</v>
      </c>
    </row>
    <row r="6" spans="1:6" x14ac:dyDescent="0.25">
      <c r="A6" t="s">
        <v>43</v>
      </c>
      <c r="B6" s="18">
        <f>Assumptions!B29*(1+B5)</f>
        <v>4028575562.49669</v>
      </c>
      <c r="C6" s="18">
        <f>B6*(1+C5)</f>
        <v>4041812475.8106503</v>
      </c>
      <c r="D6" s="18">
        <f>C6*(1+D5)</f>
        <v>4055092882.382057</v>
      </c>
      <c r="E6" s="18">
        <f>D6*(1+E5)</f>
        <v>4068416925.119109</v>
      </c>
      <c r="F6" s="18">
        <f>E6*(1+F5)</f>
        <v>4081784747.399567</v>
      </c>
    </row>
    <row r="7" spans="1:6" x14ac:dyDescent="0.25">
      <c r="A7" t="s">
        <v>5</v>
      </c>
      <c r="B7" s="10">
        <f>Assumptions!B7</f>
        <v>0.13058112722527984</v>
      </c>
      <c r="C7" s="10">
        <f>Assumptions!B7</f>
        <v>0.13058112722527984</v>
      </c>
      <c r="D7" s="10">
        <f>Assumptions!B7</f>
        <v>0.13058112722527984</v>
      </c>
      <c r="E7" s="10">
        <f>Assumptions!B7</f>
        <v>0.13058112722527984</v>
      </c>
      <c r="F7" s="10">
        <f>Assumptions!B7</f>
        <v>0.13058112722527984</v>
      </c>
    </row>
    <row r="8" spans="1:6" x14ac:dyDescent="0.25">
      <c r="A8" t="s">
        <v>44</v>
      </c>
      <c r="B8" s="18">
        <f>B6*B7</f>
        <v>526055938.0630336</v>
      </c>
      <c r="C8" s="18">
        <f>C6*C7</f>
        <v>527784429.12455386</v>
      </c>
      <c r="D8" s="18">
        <f>D6*D7</f>
        <v>529518599.58465815</v>
      </c>
      <c r="E8" s="18">
        <f>E6*E7</f>
        <v>531258468.1044602</v>
      </c>
      <c r="F8" s="18">
        <f>F6*F7</f>
        <v>533004053.4063896</v>
      </c>
    </row>
    <row r="9" spans="1:6" x14ac:dyDescent="0.25">
      <c r="A9" t="s">
        <v>45</v>
      </c>
      <c r="B9" s="18">
        <f>B8*(1-Assumptions!B8)</f>
        <v>415962714.3702113</v>
      </c>
      <c r="C9" s="18">
        <f>C8*(1-Assumptions!B8)</f>
        <v>417329466.04373485</v>
      </c>
      <c r="D9" s="18">
        <f>D8*(1-Assumptions!B8)</f>
        <v>418700708.5287482</v>
      </c>
      <c r="E9" s="18">
        <f>E8*(1-Assumptions!B8)</f>
        <v>420076456.580959</v>
      </c>
      <c r="F9" s="18">
        <f>F8*(1-Assumptions!B8)</f>
        <v>421456725.0045583</v>
      </c>
    </row>
    <row r="10" spans="1:6" x14ac:dyDescent="0.25">
      <c r="A10" t="s">
        <v>46</v>
      </c>
      <c r="B10" s="18">
        <f>B6*Assumptions!B9</f>
        <v>344700664.5475393</v>
      </c>
      <c r="C10" s="18">
        <f>C6*Assumptions!B9</f>
        <v>345833266.56656474</v>
      </c>
      <c r="D10" s="18">
        <f>D6*Assumptions!B9</f>
        <v>346969590.03862303</v>
      </c>
      <c r="E10" s="18">
        <f>E6*Assumptions!B9</f>
        <v>348109647.191498</v>
      </c>
      <c r="F10" s="18">
        <f>F6*Assumptions!B9</f>
        <v>349253450.293151</v>
      </c>
    </row>
    <row r="11" spans="1:6" x14ac:dyDescent="0.25">
      <c r="A11" t="s">
        <v>47</v>
      </c>
      <c r="B11" s="18">
        <f>-B6*Assumptions!B10</f>
        <v>-272844859.205384</v>
      </c>
      <c r="C11" s="18">
        <f>-C6*Assumptions!B10</f>
        <v>-273741360.6345947</v>
      </c>
      <c r="D11" s="18">
        <f>-D6*Assumptions!B10</f>
        <v>-274640807.7480851</v>
      </c>
      <c r="E11" s="18">
        <f>-E6*Assumptions!B10</f>
        <v>-275543210.2246529</v>
      </c>
      <c r="F11" s="18">
        <f>-F6*Assumptions!B10</f>
        <v>-276448577.7748978</v>
      </c>
    </row>
    <row r="12" spans="1:6" x14ac:dyDescent="0.25">
      <c r="A12" t="s">
        <v>48</v>
      </c>
      <c r="B12" s="18">
        <f>-(B6-Assumptions!B29)*Assumptions!B11</f>
        <v>-5368236.296584189</v>
      </c>
      <c r="C12" s="18">
        <f>-(C6-B6)*Assumptions!B11</f>
        <v>-5385875.007191567</v>
      </c>
      <c r="D12" s="18">
        <f>-(D6-C6)*Assumptions!B11</f>
        <v>-5403571.674284964</v>
      </c>
      <c r="E12" s="18">
        <f>-(E6-D6)*Assumptions!B11</f>
        <v>-5421326.488295105</v>
      </c>
      <c r="F12" s="18">
        <f>-(F6-E6)*Assumptions!B11</f>
        <v>-5439139.640278809</v>
      </c>
    </row>
    <row r="13" spans="1:6" x14ac:dyDescent="0.25">
      <c r="A13" s="19" t="s">
        <v>49</v>
      </c>
      <c r="B13" s="20">
        <f>B9+B10+B11+B12</f>
        <v>482450283.4157824</v>
      </c>
      <c r="C13" s="20">
        <f>C9+C10+C11+C12</f>
        <v>484035496.96851337</v>
      </c>
      <c r="D13" s="20">
        <f>D9+D10+D11+D12</f>
        <v>485625919.14500123</v>
      </c>
      <c r="E13" s="20">
        <f>E9+E10+E11+E12</f>
        <v>487221567.05950904</v>
      </c>
      <c r="F13" s="20">
        <f>F9+F10+F11+F12</f>
        <v>488822457.8825327</v>
      </c>
    </row>
    <row r="14" spans="1:6" x14ac:dyDescent="0.25">
      <c r="A14" t="s">
        <v>50</v>
      </c>
      <c r="B14" s="21">
        <f>1/(1+Assumptions!$B$26)^(1-0.5*Assumptions!$B$32)</f>
        <v>0.9504598505408489</v>
      </c>
      <c r="C14" s="21">
        <f>1/(1+Assumptions!$B$26)^(2-0.5*Assumptions!$B$32)</f>
        <v>0.8586206481047712</v>
      </c>
      <c r="D14" s="21">
        <f>1/(1+Assumptions!$B$26)^(3-0.5*Assumptions!$B$32)</f>
        <v>0.7756555071025305</v>
      </c>
      <c r="E14" s="21">
        <f>1/(1+Assumptions!$B$26)^(4-0.5*Assumptions!$B$32)</f>
        <v>0.7007069618305636</v>
      </c>
      <c r="F14" s="21">
        <f>1/(1+Assumptions!$B$26)^(5-0.5*Assumptions!$B$32)</f>
        <v>0.6330004001285547</v>
      </c>
    </row>
    <row r="15" spans="1:6" x14ac:dyDescent="0.25">
      <c r="A15" s="19" t="s">
        <v>51</v>
      </c>
      <c r="B15" s="20">
        <f>B13*B14</f>
        <v>458549624.2687547</v>
      </c>
      <c r="C15" s="20">
        <f>C13*C14</f>
        <v>415602872.11281997</v>
      </c>
      <c r="D15" s="20">
        <f>D13*D14</f>
        <v>376678418.5765484</v>
      </c>
      <c r="E15" s="20">
        <f>E13*E14</f>
        <v>341399543.9925948</v>
      </c>
      <c r="F15" s="20">
        <f>F13*F14</f>
        <v>309424811.4314668</v>
      </c>
    </row>
    <row r="17" spans="1:2" x14ac:dyDescent="0.25">
      <c r="A17" s="22" t="s">
        <v>52</v>
      </c>
      <c r="B17" s="23">
        <f>SUM(B15:F15)</f>
        <v>1901655270.3821845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488822457.8825327</v>
      </c>
    </row>
    <row r="5" spans="1:2" x14ac:dyDescent="0.25">
      <c r="A5" t="s">
        <v>56</v>
      </c>
      <c r="B5" s="18">
        <f>IF(Assumptions!$B$33=0,B4,B4-Forecast!F11-Forecast!F10-Forecast!F12)</f>
        <v>421456725.0045583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0.23372934033872783</v>
      </c>
    </row>
    <row r="7" spans="1:2" x14ac:dyDescent="0.25">
      <c r="A7" t="s">
        <v>58</v>
      </c>
      <c r="B7" s="18">
        <f>-MAX(Forecast!F9,0)*B6</f>
        <v>-98506802.31663604</v>
      </c>
    </row>
    <row r="8" spans="1:2" x14ac:dyDescent="0.25">
      <c r="A8" t="s">
        <v>59</v>
      </c>
      <c r="B8" s="18">
        <f>IF(OR(Assumptions!$B$33=0,Assumptions!B12&lt;=0),B5,MAX(B5+B7,0))</f>
        <v>322949922.6879223</v>
      </c>
    </row>
    <row r="9" spans="1:2" x14ac:dyDescent="0.25">
      <c r="A9" t="s">
        <v>60</v>
      </c>
      <c r="B9" s="18">
        <f>B8*(1+Assumptions!B12)/(Assumptions!B26-Assumptions!B12)</f>
        <v>4038778894.9820776</v>
      </c>
    </row>
    <row r="10" spans="1:2" x14ac:dyDescent="0.25">
      <c r="A10" t="s">
        <v>61</v>
      </c>
      <c r="B10" s="18">
        <f>B9/(1+Assumptions!B26)^(5-0.5*Assumptions!B32)</f>
        <v>2556548656.554417</v>
      </c>
    </row>
    <row r="11" spans="1:2" x14ac:dyDescent="0.25">
      <c r="A11" t="s">
        <v>62</v>
      </c>
      <c r="B11" s="18">
        <f>Forecast!B17+B10</f>
        <v>4458203926.936602</v>
      </c>
    </row>
    <row r="12" spans="1:2" x14ac:dyDescent="0.25">
      <c r="A12" t="s">
        <v>63</v>
      </c>
      <c r="B12" s="18">
        <f>-Assumptions!B30</f>
        <v>-2356638000</v>
      </c>
    </row>
    <row r="13" spans="1:2" x14ac:dyDescent="0.25">
      <c r="A13" t="s">
        <v>64</v>
      </c>
      <c r="B13" s="18">
        <f>B11+B12</f>
        <v>2101565926.9366016</v>
      </c>
    </row>
    <row r="14" spans="1:2" x14ac:dyDescent="0.25">
      <c r="A14" s="19" t="s">
        <v>65</v>
      </c>
      <c r="B14" s="24">
        <f>B13/Assumptions!B31</f>
        <v>42.40105574482693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882257503.6995406</v>
      </c>
    </row>
    <row r="18" spans="1:2" x14ac:dyDescent="0.25">
      <c r="A18" t="s">
        <v>60</v>
      </c>
      <c r="B18" s="18">
        <f>B17*Assumptions!B13</f>
        <v>17273576213.421856</v>
      </c>
    </row>
    <row r="19" spans="1:2" x14ac:dyDescent="0.25">
      <c r="A19" t="s">
        <v>61</v>
      </c>
      <c r="B19" s="18">
        <f>B18/(1+Assumptions!B26)^(5-0.5*Assumptions!B32)</f>
        <v>10934180654.74712</v>
      </c>
    </row>
    <row r="20" spans="1:2" x14ac:dyDescent="0.25">
      <c r="A20" t="s">
        <v>62</v>
      </c>
      <c r="B20" s="18">
        <f>Forecast!B17+B19</f>
        <v>12835835925.129305</v>
      </c>
    </row>
    <row r="21" spans="1:2" x14ac:dyDescent="0.25">
      <c r="A21" t="s">
        <v>63</v>
      </c>
      <c r="B21" s="18">
        <f>-Assumptions!B30</f>
        <v>-2356638000</v>
      </c>
    </row>
    <row r="22" spans="1:2" x14ac:dyDescent="0.25">
      <c r="A22" t="s">
        <v>64</v>
      </c>
      <c r="B22" s="18">
        <f>B20+B21</f>
        <v>10479197925.129305</v>
      </c>
    </row>
    <row r="23" spans="1:2" x14ac:dyDescent="0.25">
      <c r="A23" s="19" t="s">
        <v>65</v>
      </c>
      <c r="B23" s="25">
        <f>B22/Assumptions!B31</f>
        <v>211.42760723769882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278.06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42.40105574482693</v>
      </c>
    </row>
    <row r="29" spans="1:2" x14ac:dyDescent="0.25">
      <c r="A29" s="19" t="s">
        <v>73</v>
      </c>
      <c r="B29" s="12">
        <f>B28/B26-1</f>
        <v>-0.8475111280125623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0.086961</v>
      </c>
      <c r="B5" s="31">
        <v>60.67668333947998</v>
      </c>
      <c r="C5" s="31">
        <v>61.01262919689408</v>
      </c>
      <c r="D5" s="31">
        <v>61.34857505430812</v>
      </c>
      <c r="E5" s="31">
        <v>61.68452091172218</v>
      </c>
      <c r="F5" s="31">
        <v>62.02046676913623</v>
      </c>
    </row>
    <row r="6" spans="1:6" x14ac:dyDescent="0.25">
      <c r="A6" s="30">
        <v>0.096961</v>
      </c>
      <c r="B6" s="31">
        <v>50.32842227857086</v>
      </c>
      <c r="C6" s="31">
        <v>50.6175563119159</v>
      </c>
      <c r="D6" s="31">
        <v>50.906690345260905</v>
      </c>
      <c r="E6" s="31">
        <v>51.19582437860591</v>
      </c>
      <c r="F6" s="31">
        <v>51.48495841195093</v>
      </c>
    </row>
    <row r="7" spans="1:6" x14ac:dyDescent="0.25">
      <c r="A7" s="30">
        <v>0.106961</v>
      </c>
      <c r="B7" s="31">
        <v>41.89807769699726</v>
      </c>
      <c r="C7" s="31">
        <v>42.14969224531931</v>
      </c>
      <c r="D7" s="32">
        <v>42.40130679364134</v>
      </c>
      <c r="E7" s="31">
        <v>42.652921341963385</v>
      </c>
      <c r="F7" s="31">
        <v>42.90453589028543</v>
      </c>
    </row>
    <row r="8" spans="1:6" x14ac:dyDescent="0.25">
      <c r="A8" s="30">
        <v>0.116961</v>
      </c>
      <c r="B8" s="31">
        <v>34.894533255639736</v>
      </c>
      <c r="C8" s="31">
        <v>35.115508960902645</v>
      </c>
      <c r="D8" s="31">
        <v>35.33648466616554</v>
      </c>
      <c r="E8" s="31">
        <v>35.557460371428434</v>
      </c>
      <c r="F8" s="31">
        <v>35.77843607669132</v>
      </c>
    </row>
    <row r="9" spans="1:6" x14ac:dyDescent="0.25">
      <c r="A9" s="30">
        <v>0.126961</v>
      </c>
      <c r="B9" s="31">
        <v>28.98135358961136</v>
      </c>
      <c r="C9" s="31">
        <v>29.176920924912075</v>
      </c>
      <c r="D9" s="31">
        <v>29.372488260212787</v>
      </c>
      <c r="E9" s="31">
        <v>29.568055595513513</v>
      </c>
      <c r="F9" s="31">
        <v>29.763622930814225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4015382000</v>
      </c>
      <c r="C5" s="18">
        <v>4049989000</v>
      </c>
      <c r="D5" s="18">
        <v>4129409000</v>
      </c>
      <c r="E5" s="18">
        <v>3976060000</v>
      </c>
      <c r="F5" s="8" t="s">
        <v>84</v>
      </c>
    </row>
    <row r="6" spans="1:6" x14ac:dyDescent="0.25">
      <c r="A6" t="s">
        <v>44</v>
      </c>
      <c r="B6" s="18">
        <v>401136000</v>
      </c>
      <c r="C6" s="18">
        <v>442347000</v>
      </c>
      <c r="D6" s="18">
        <v>617261000</v>
      </c>
      <c r="E6" s="18">
        <v>650975000</v>
      </c>
      <c r="F6" s="8" t="s">
        <v>85</v>
      </c>
    </row>
    <row r="7" spans="1:6" x14ac:dyDescent="0.25">
      <c r="A7" t="s">
        <v>86</v>
      </c>
      <c r="B7" s="18">
        <v>403312000</v>
      </c>
      <c r="C7" s="18">
        <v>361741000</v>
      </c>
      <c r="D7" s="18">
        <v>314124000</v>
      </c>
      <c r="E7" s="18">
        <v>303870000</v>
      </c>
      <c r="F7" s="8" t="s">
        <v>87</v>
      </c>
    </row>
    <row r="8" spans="1:6" x14ac:dyDescent="0.25">
      <c r="A8" t="s">
        <v>88</v>
      </c>
      <c r="B8" s="18">
        <v>219152000</v>
      </c>
      <c r="C8" s="18">
        <v>232967000</v>
      </c>
      <c r="D8" s="18">
        <v>318528000</v>
      </c>
      <c r="E8" s="18">
        <v>324733000</v>
      </c>
      <c r="F8" s="8" t="s">
        <v>89</v>
      </c>
    </row>
    <row r="9" spans="1:6" x14ac:dyDescent="0.25">
      <c r="A9" t="s">
        <v>90</v>
      </c>
      <c r="B9" s="18">
        <v>-14081000</v>
      </c>
      <c r="C9" s="18">
        <v>30329000</v>
      </c>
      <c r="D9" s="18">
        <v>102380000</v>
      </c>
      <c r="E9" s="18">
        <v>152554000</v>
      </c>
      <c r="F9" s="8" t="s">
        <v>91</v>
      </c>
    </row>
    <row r="10" spans="1:6" x14ac:dyDescent="0.25">
      <c r="A10" t="s">
        <v>92</v>
      </c>
      <c r="B10" s="18">
        <v>2570408000</v>
      </c>
      <c r="C10" s="18">
        <v>2723994000</v>
      </c>
      <c r="D10" s="18">
        <v>3066381000</v>
      </c>
      <c r="E10" s="18">
        <v>3097276000</v>
      </c>
      <c r="F10" s="8" t="s">
        <v>93</v>
      </c>
    </row>
    <row r="11" spans="1:6" x14ac:dyDescent="0.25">
      <c r="A11" t="s">
        <v>94</v>
      </c>
      <c r="B11" s="18">
        <v>213770000</v>
      </c>
      <c r="C11" s="18">
        <v>194606000</v>
      </c>
      <c r="D11" s="18">
        <v>276771000</v>
      </c>
      <c r="E11" s="18">
        <v>233912000</v>
      </c>
      <c r="F11" s="8" t="s">
        <v>95</v>
      </c>
    </row>
    <row r="12" spans="1:6" x14ac:dyDescent="0.25">
      <c r="A12" t="s">
        <v>32</v>
      </c>
      <c r="B12" s="34">
        <v>49564000</v>
      </c>
      <c r="C12" s="34">
        <v>51628000</v>
      </c>
      <c r="D12" s="34">
        <v>51451000</v>
      </c>
      <c r="E12" s="34">
        <v>51301000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