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<sst xmlns="http://schemas.openxmlformats.org/spreadsheetml/2006/main" count="120" uniqueCount="107">
  <si>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Charles River Laboratories International, Inc. (CRL)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</si>
  <si>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</si>
  <si>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</si>
  <si>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</si>
  <si>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</si>
  <si>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</si>
  <si>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</si>
  <si>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</si>
  <si>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</si>
  <si>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</si>
  <si>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</si>
  <si>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</si>
  <si>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</si>
  <si>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</si>
  <si>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</si>
  <si>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</si>
  <si>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</si>
  <si>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</si>
  <si>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</si>
  <si>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</si>
  <si>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</si>
  <si>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</si>
  <si>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</si>
  <si>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</si>
  <si>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3.7x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</si>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</sst>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-0.024498807336387873</v>
      </c>
    </row>
    <row r="7" spans="1:2" x14ac:dyDescent="0.25">
      <c r="A7" t="s">
        <v>4</v>
      </c>
      <c r="B7" s="5">
        <v>0.13058112722527984</v>
      </c>
    </row>
    <row r="8" spans="1:2" x14ac:dyDescent="0.25">
      <c r="A8" t="s">
        <v>5</v>
      </c>
      <c r="B8" s="5">
        <v>0.20928045047488952</v>
      </c>
    </row>
    <row r="9" spans="1:2" x14ac:dyDescent="0.25">
      <c r="A9" t="s">
        <v>6</v>
      </c>
      <c r="B9" s="5">
        <v>0.08556390694429789</v>
      </c>
    </row>
    <row r="10" spans="1:3" x14ac:dyDescent="0.25">
      <c r="A10" t="s">
        <v>7</v>
      </c>
      <c r="B10" s="5">
        <v>0.06772737782192417</v>
      </c>
      <c r="C10" s="6" t="s">
        <v>8</v>
      </c>
    </row>
    <row r="11" spans="1:2" x14ac:dyDescent="0.25">
      <c r="A11" t="s">
        <v>9</v>
      </c>
      <c r="B11" s="5">
        <v>0.16552009343206142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0.09532663725019583</v>
      </c>
      <c r="C14" s="6" t="s">
        <v>13</v>
      </c>
    </row>
    <row r="15" spans="1:3" x14ac:dyDescent="0.25">
      <c r="A15" t="s">
        <v>14</v>
      </c>
      <c r="B15" s="5">
        <v>0.08556390694429789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1.27068</v>
      </c>
      <c r="C19" s="6" t="s">
        <v>21</v>
      </c>
    </row>
    <row r="20" spans="1:2" x14ac:dyDescent="0.25">
      <c r="A20" t="s">
        <v>22</v>
      </c>
      <c r="B20" s="9">
        <f>B17+B19*B18</f>
        <v>0.102689764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17311963136</v>
      </c>
    </row>
    <row r="23" spans="1:2" x14ac:dyDescent="0.25">
      <c r="A23" t="s">
        <v>26</v>
      </c>
      <c r="B23" s="10">
        <v>2570408000</v>
      </c>
    </row>
    <row r="24" spans="1:2" x14ac:dyDescent="0.25">
      <c r="A24" t="s">
        <v>27</v>
      </c>
      <c r="B24" s="9">
        <f>B22/(B22+B23)</f>
        <v>0.8707192425683126</v>
      </c>
    </row>
    <row r="25" spans="1:2" x14ac:dyDescent="0.25">
      <c r="A25" t="s">
        <v>28</v>
      </c>
      <c r="B25" s="9">
        <f>1-B24</f>
        <v>0.12928075743168743</v>
      </c>
    </row>
    <row r="26" spans="1:2" x14ac:dyDescent="0.25">
      <c r="A26" t="s">
        <v>29</v>
      </c>
      <c r="B26" s="11">
        <f>B24*B20+B25*B21*(1-B8)</f>
        <v>0.09532663725019583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4015382000</v>
      </c>
      <c r="C29" s="6" t="s">
        <v>32</v>
      </c>
    </row>
    <row r="30" spans="1:2" x14ac:dyDescent="0.25">
      <c r="A30" t="s">
        <v>33</v>
      </c>
      <c r="B30" s="10">
        <v>2356638000</v>
      </c>
    </row>
    <row r="31" spans="1:2" x14ac:dyDescent="0.25">
      <c r="A31" t="s">
        <v>34</v>
      </c>
      <c r="B31" s="12">
        <v>49564000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-0.024498807336387873</v>
      </c>
      <c r="C5" s="5">
        <v>0.025305909806565108</v>
      </c>
      <c r="D5" s="5">
        <v>0.02526767108074447</v>
      </c>
      <c r="E5" s="5">
        <v>0.02522943235492383</v>
      </c>
      <c r="F5" s="5">
        <v>0.025191193629103194</v>
      </c>
      <c r="G5" s="5">
        <v>0.025152954903282555</v>
      </c>
      <c r="H5" s="5">
        <v>0.025114716177461915</v>
      </c>
      <c r="I5" s="5">
        <v>0.02507647745164128</v>
      </c>
      <c r="J5" s="5">
        <v>0.02503823872582064</v>
      </c>
      <c r="K5" s="5">
        <v>0.025</v>
      </c>
    </row>
    <row r="6" spans="1:11" x14ac:dyDescent="0.25">
      <c r="A6" t="s">
        <v>50</v>
      </c>
      <c r="B6" s="18">
        <f>Assumptions!B29*(1+B5)</f>
        <v>3917009930</v>
      </c>
      <c r="C6" s="18">
        <f>B6*(1+C5)</f>
        <v>4016133430</v>
      </c>
      <c r="D6" s="18">
        <f>C6*(1+D5)</f>
        <v>4117611768.525622</v>
      </c>
      <c r="E6" s="18">
        <f>D6*(1+E5)</f>
        <v>4221496776.1034775</v>
      </c>
      <c r="F6" s="18">
        <f>E6*(1+F5)</f>
        <v>4327841318.794935</v>
      </c>
      <c r="G6" s="18">
        <f>F6*(1+G5)</f>
        <v>4436699316.315147</v>
      </c>
      <c r="H6" s="18">
        <f>G6*(1+H5)</f>
        <v>4548125760.409142</v>
      </c>
      <c r="I6" s="18">
        <f>H6*(1+I5)</f>
        <v>4662176733.48727</v>
      </c>
      <c r="J6" s="18">
        <f>I6*(1+J5)</f>
        <v>4778909427.522291</v>
      </c>
      <c r="K6" s="18">
        <f>J6*(1+K5)</f>
        <v>4898382163.210348</v>
      </c>
    </row>
    <row r="7" spans="1:11" x14ac:dyDescent="0.25">
      <c r="A7" t="s">
        <v>4</v>
      </c>
      <c r="B7" s="9">
        <f>Assumptions!B7</f>
        <v>0.13058112722527984</v>
      </c>
      <c r="C7" s="9">
        <f>Assumptions!B7</f>
        <v>0.13058112722527984</v>
      </c>
      <c r="D7" s="9">
        <f>Assumptions!B7</f>
        <v>0.13058112722527984</v>
      </c>
      <c r="E7" s="9">
        <f>Assumptions!B7</f>
        <v>0.13058112722527984</v>
      </c>
      <c r="F7" s="9">
        <f>Assumptions!B7</f>
        <v>0.13058112722527984</v>
      </c>
      <c r="G7" s="9">
        <f>Assumptions!B7</f>
        <v>0.13058112722527984</v>
      </c>
      <c r="H7" s="9">
        <f>Assumptions!B7</f>
        <v>0.13058112722527984</v>
      </c>
      <c r="I7" s="9">
        <f>Assumptions!B7</f>
        <v>0.13058112722527984</v>
      </c>
      <c r="J7" s="9">
        <f>Assumptions!B7</f>
        <v>0.13058112722527984</v>
      </c>
      <c r="K7" s="9">
        <f>Assumptions!B7</f>
        <v>0.13058112722527984</v>
      </c>
    </row>
    <row r="8" spans="1:11" x14ac:dyDescent="0.25">
      <c r="A8" t="s">
        <v>51</v>
      </c>
      <c r="B8" s="18">
        <f>B6*B7</f>
        <v>511487572.0120145</v>
      </c>
      <c r="C8" s="18">
        <f>C6*C7</f>
        <v>524431230.3765295</v>
      </c>
      <c r="D8" s="18">
        <f>D6*D7</f>
        <v>537682386.2101538</v>
      </c>
      <c r="E8" s="18">
        <f>E6*E7</f>
        <v>551247807.6014769</v>
      </c>
      <c r="F8" s="18">
        <f>F6*F7</f>
        <v>565134397.8603843</v>
      </c>
      <c r="G8" s="18">
        <f>G6*G7</f>
        <v>579349197.8840604</v>
      </c>
      <c r="H8" s="18">
        <f>H6*H7</f>
        <v>593899388.5565587</v>
      </c>
      <c r="I8" s="18">
        <f>I6*I7</f>
        <v>608792293.1822408</v>
      </c>
      <c r="J8" s="18">
        <f>J6*J7</f>
        <v>624035379.9533776</v>
      </c>
      <c r="K8" s="18">
        <f>K6*K7</f>
        <v>639636264.452212</v>
      </c>
    </row>
    <row r="9" spans="1:11" x14ac:dyDescent="0.25">
      <c r="A9" t="s">
        <v>52</v>
      </c>
      <c r="B9" s="18">
        <f>B8*(1-Assumptions!B8)</f>
        <v>404443222.5290326</v>
      </c>
      <c r="C9" s="18">
        <f>C8*(1-Assumptions!B8)</f>
        <v>414678026.24022883</v>
      </c>
      <c r="D9" s="18">
        <f>D8*(1-Assumptions!B8)</f>
        <v>425155974.2116793</v>
      </c>
      <c r="E9" s="18">
        <f>E8*(1-Assumptions!B8)</f>
        <v>435882418.1033446</v>
      </c>
      <c r="F9" s="18">
        <f>F8*(1-Assumptions!B8)</f>
        <v>446862816.49730766</v>
      </c>
      <c r="G9" s="18">
        <f>G8*(1-Assumptions!B8)</f>
        <v>458102736.7686183</v>
      </c>
      <c r="H9" s="18">
        <f>H8*(1-Assumptions!B8)</f>
        <v>469607856.9826807</v>
      </c>
      <c r="I9" s="18">
        <f>I8*(1-Assumptions!B8)</f>
        <v>481383967.81942046</v>
      </c>
      <c r="J9" s="18">
        <f>J8*(1-Assumptions!B8)</f>
        <v>493436974.5244659</v>
      </c>
      <c r="K9" s="18">
        <f>K8*(1-Assumptions!B8)</f>
        <v>505772898.8875775</v>
      </c>
    </row>
    <row r="10" spans="1:11" x14ac:dyDescent="0.25">
      <c r="A10" t="s">
        <v>53</v>
      </c>
      <c r="B10" s="18">
        <f>B6*Assumptions!B9</f>
        <v>335154673.1504108</v>
      </c>
      <c r="C10" s="18">
        <f>C6*Assumptions!B9</f>
        <v>343636067.08040386</v>
      </c>
      <c r="D10" s="18">
        <f>D6*Assumptions!B9</f>
        <v>352318950.19487214</v>
      </c>
      <c r="E10" s="18">
        <f>E6*Assumptions!B9</f>
        <v>361207757.31617147</v>
      </c>
      <c r="F10" s="18">
        <f>F6*Assumptions!B9</f>
        <v>370307011.8710573</v>
      </c>
      <c r="G10" s="18">
        <f>G6*Assumptions!B9</f>
        <v>379621327.4410193</v>
      </c>
      <c r="H10" s="18">
        <f>H6*Assumptions!B9</f>
        <v>389155409.33461183</v>
      </c>
      <c r="I10" s="18">
        <f>I6*Assumptions!B9</f>
        <v>398914056.1819755</v>
      </c>
      <c r="J10" s="18">
        <f>J6*Assumptions!B9</f>
        <v>408902161.5517452</v>
      </c>
      <c r="K10" s="18">
        <f>K6*Assumptions!B9</f>
        <v>419124715.5905388</v>
      </c>
    </row>
    <row r="11" spans="1:11" x14ac:dyDescent="0.25">
      <c r="A11" t="s">
        <v>54</v>
      </c>
      <c r="B11" s="18">
        <f>-B6*B19</f>
        <v>-265288811.46133876</v>
      </c>
      <c r="C11" s="18">
        <f>-C6*C19</f>
        <v>-292045048.09878236</v>
      </c>
      <c r="D11" s="18">
        <f>-D6*D19</f>
        <v>-319973644.65886885</v>
      </c>
      <c r="E11" s="18">
        <f>-E6*E19</f>
        <v>-349114143.55862486</v>
      </c>
      <c r="F11" s="18">
        <f>-F6*F19</f>
        <v>-379507212.6797719</v>
      </c>
      <c r="G11" s="18">
        <f>-G6*G19</f>
        <v>-411194672.88763374</v>
      </c>
      <c r="H11" s="18">
        <f>-H6*H19</f>
        <v>-444219526.1176979</v>
      </c>
      <c r="I11" s="18">
        <f>-I6*I19</f>
        <v>-478625984.03904885</v>
      </c>
      <c r="J11" s="18">
        <f>-J6*J19</f>
        <v>-514459497.3039768</v>
      </c>
      <c r="K11" s="18">
        <f>-K6*K19</f>
        <v>-551766785.393158</v>
      </c>
    </row>
    <row r="12" spans="1:11" x14ac:dyDescent="0.25">
      <c r="A12" t="s">
        <v>55</v>
      </c>
      <c r="B12" s="18">
        <f>-(B6-Assumptions!B29)*Assumptions!B11</f>
        <v>16282554.217505286</v>
      </c>
      <c r="C12" s="18">
        <f>-(C6-B6)*Assumptions!B11</f>
        <v>-16406930.98131294</v>
      </c>
      <c r="D12" s="18">
        <f>-(D6-C6)*Assumptions!B11</f>
        <v>-16796704.074091293</v>
      </c>
      <c r="E12" s="18">
        <f>-(E6-D6)*Assumptions!B11</f>
        <v>-17195056.160477065</v>
      </c>
      <c r="F12" s="18">
        <f>-(F6-E6)*Assumptions!B11</f>
        <v>-17602158.64227993</v>
      </c>
      <c r="G12" s="18">
        <f>-(G6-F6)*Assumptions!B11</f>
        <v>-18018185.920372628</v>
      </c>
      <c r="H12" s="18">
        <f>-(H6-G6)*Assumptions!B11</f>
        <v>-18443315.43724028</v>
      </c>
      <c r="I12" s="18">
        <f>-(I6-H6)*Assumptions!B11</f>
        <v>-18877727.719909403</v>
      </c>
      <c r="J12" s="18">
        <f>-(J6-I6)*Assumptions!B11</f>
        <v>-19321606.423252888</v>
      </c>
      <c r="K12" s="18">
        <f>-(K6-J6)*Assumptions!B11</f>
        <v>-19775138.373671163</v>
      </c>
    </row>
    <row r="13" spans="1:11" x14ac:dyDescent="0.25">
      <c r="A13" s="19" t="s">
        <v>56</v>
      </c>
      <c r="B13" s="20">
        <f>B9+B10+B11+B12</f>
        <v>490591638.4356099</v>
      </c>
      <c r="C13" s="20">
        <f>C9+C10+C11+C12</f>
        <v>449862114.2405374</v>
      </c>
      <c r="D13" s="20">
        <f>D9+D10+D11+D12</f>
        <v>440704575.6735912</v>
      </c>
      <c r="E13" s="20">
        <f>E9+E10+E11+E12</f>
        <v>430780975.7004142</v>
      </c>
      <c r="F13" s="20">
        <f>F9+F10+F11+F12</f>
        <v>420060457.0463131</v>
      </c>
      <c r="G13" s="20">
        <f>G9+G10+G11+G12</f>
        <v>408511205.4016313</v>
      </c>
      <c r="H13" s="20">
        <f>H9+H10+H11+H12</f>
        <v>396100424.76235425</v>
      </c>
      <c r="I13" s="20">
        <f>I9+I10+I11+I12</f>
        <v>382794312.24243766</v>
      </c>
      <c r="J13" s="20">
        <f>J9+J10+J11+J12</f>
        <v>368558032.34898144</v>
      </c>
      <c r="K13" s="20">
        <f>K9+K10+K11+K12</f>
        <v>353355690.71128714</v>
      </c>
    </row>
    <row r="14" spans="1:11" x14ac:dyDescent="0.25">
      <c r="A14" t="s">
        <v>57</v>
      </c>
      <c r="B14" s="21">
        <f>1/(1+Assumptions!$B$26)^(1-0.5*Assumptions!$B$32)</f>
        <v>0.9554944643070961</v>
      </c>
      <c r="C14" s="21">
        <f>1/(1+Assumptions!$B$26)^(2-0.5*Assumptions!$B$32)</f>
        <v>0.8723374670279666</v>
      </c>
      <c r="D14" s="21">
        <f>1/(1+Assumptions!$B$26)^(3-0.5*Assumptions!$B$32)</f>
        <v>0.7964176505539563</v>
      </c>
      <c r="E14" s="21">
        <f>1/(1+Assumptions!$B$26)^(4-0.5*Assumptions!$B$32)</f>
        <v>0.7271051606608904</v>
      </c>
      <c r="F14" s="21">
        <f>1/(1+Assumptions!$B$26)^(5-0.5*Assumptions!$B$32)</f>
        <v>0.6638249595447429</v>
      </c>
      <c r="G14" s="21">
        <f>1/(1+Assumptions!$B$26)^(6-0.5*Assumptions!$B$32)</f>
        <v>0.6060520551305749</v>
      </c>
      <c r="H14" s="21">
        <f>1/(1+Assumptions!$B$26)^(7-0.5*Assumptions!$B$32)</f>
        <v>0.5533071455762832</v>
      </c>
      <c r="I14" s="21">
        <f>1/(1+Assumptions!$B$26)^(8-0.5*Assumptions!$B$32)</f>
        <v>0.5051526428366192</v>
      </c>
      <c r="J14" s="21">
        <f>1/(1+Assumptions!$B$26)^(9-0.5*Assumptions!$B$32)</f>
        <v>0.4611890422977376</v>
      </c>
      <c r="K14" s="21">
        <f>1/(1+Assumptions!$B$26)^(10-0.5*Assumptions!$B$32)</f>
        <v>0.42105160836364486</v>
      </c>
    </row>
    <row r="15" spans="1:11" x14ac:dyDescent="0.25">
      <c r="A15" s="19" t="s">
        <v>58</v>
      </c>
      <c r="B15" s="20">
        <f>B13*B14</f>
        <v>468757594.7605736</v>
      </c>
      <c r="C15" s="20">
        <f>C13*C14</f>
        <v>392431577.2484361</v>
      </c>
      <c r="D15" s="20">
        <f>D13*D14</f>
        <v>350984902.74633974</v>
      </c>
      <c r="E15" s="20">
        <f>E13*E14</f>
        <v>313223070.54630476</v>
      </c>
      <c r="F15" s="20">
        <f>F13*F14</f>
        <v>278846615.905115</v>
      </c>
      <c r="G15" s="20">
        <f>G13*G14</f>
        <v>247579055.57752708</v>
      </c>
      <c r="H15" s="20">
        <f>H13*H14</f>
        <v>219165195.38681158</v>
      </c>
      <c r="I15" s="20">
        <f>I13*I14</f>
        <v>193369558.4920934</v>
      </c>
      <c r="J15" s="20">
        <f>J13*J14</f>
        <v>169974925.97016534</v>
      </c>
      <c r="K15" s="20">
        <f>K13*K14</f>
        <v>148780981.8984341</v>
      </c>
    </row>
    <row r="17" spans="1:2" x14ac:dyDescent="0.25">
      <c r="A17" s="22" t="s">
        <v>59</v>
      </c>
      <c r="B17" s="23">
        <f>SUM(B15:K15)</f>
        <v>2783113478.5318007</v>
      </c>
    </row>
    <row r="19" spans="1:11" x14ac:dyDescent="0.25">
      <c r="A19" t="s">
        <v>7</v>
      </c>
      <c r="B19" s="9">
        <f>Assumptions!$B$10+($B$20-Assumptions!$B$10)*0/9</f>
        <v>0.06772737782192417</v>
      </c>
      <c r="C19" s="9">
        <f>Assumptions!$B$10+($B$20-Assumptions!$B$10)*1/9</f>
        <v>0.07271796447728639</v>
      </c>
      <c r="D19" s="9">
        <f>Assumptions!$B$10+($B$20-Assumptions!$B$10)*2/9</f>
        <v>0.07770855113264859</v>
      </c>
      <c r="E19" s="9">
        <f>Assumptions!$B$10+($B$20-Assumptions!$B$10)*3/9</f>
        <v>0.0826991377880108</v>
      </c>
      <c r="F19" s="9">
        <f>Assumptions!$B$10+($B$20-Assumptions!$B$10)*4/9</f>
        <v>0.087689724443373</v>
      </c>
      <c r="G19" s="9">
        <f>Assumptions!$B$10+($B$20-Assumptions!$B$10)*5/9</f>
        <v>0.09268031109873523</v>
      </c>
      <c r="H19" s="9">
        <f>Assumptions!$B$10+($B$20-Assumptions!$B$10)*6/9</f>
        <v>0.09767089775409743</v>
      </c>
      <c r="I19" s="9">
        <f>Assumptions!$B$10+($B$20-Assumptions!$B$10)*7/9</f>
        <v>0.10266148440945963</v>
      </c>
      <c r="J19" s="9">
        <f>Assumptions!$B$10+($B$20-Assumptions!$B$10)*8/9</f>
        <v>0.10765207106482184</v>
      </c>
      <c r="K19" s="9">
        <f>Assumptions!$B$10+($B$20-Assumptions!$B$10)*9/9</f>
        <v>0.11264265772018406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0.11264265772018406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353355690.71128714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505772898.8875775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0.26225618275387813</v>
      </c>
    </row>
    <row r="7" spans="1:2" x14ac:dyDescent="0.25">
      <c r="A7" t="s">
        <v>66</v>
      </c>
      <c r="B7" s="18">
        <f>-MAX(B5,0)*B6</f>
        <v>-132642069.80261925</v>
      </c>
    </row>
    <row r="8" spans="1:2" x14ac:dyDescent="0.25">
      <c r="A8" t="s">
        <v>67</v>
      </c>
      <c r="B8" s="18">
        <f>IF(OR(Assumptions!$B$33=0,Assumptions!B12&lt;=0),B5,MAX(B5+B7,0))</f>
        <v>373130829.0849582</v>
      </c>
    </row>
    <row r="9" spans="1:2" x14ac:dyDescent="0.25">
      <c r="A9" t="s">
        <v>68</v>
      </c>
      <c r="B9" s="18">
        <f>B8*(1+Assumptions!B12)/(Assumptions!B26-Assumptions!B12)</f>
        <v>5438324861.907387</v>
      </c>
    </row>
    <row r="10" spans="1:2" x14ac:dyDescent="0.25">
      <c r="A10" t="s">
        <v>69</v>
      </c>
      <c r="B10" s="18">
        <f>B9/(1+Assumptions!B26)^(10-0.5*Assumptions!B32)</f>
        <v>2289815429.910102</v>
      </c>
    </row>
    <row r="11" spans="1:2" x14ac:dyDescent="0.25">
      <c r="A11" t="s">
        <v>70</v>
      </c>
      <c r="B11" s="18">
        <f>Forecast!B17+B10</f>
        <v>5072928908.441902</v>
      </c>
    </row>
    <row r="12" spans="1:2" x14ac:dyDescent="0.25">
      <c r="A12" t="s">
        <v>71</v>
      </c>
      <c r="B12" s="18">
        <f>-Assumptions!B30</f>
        <v>-2356638000</v>
      </c>
    </row>
    <row r="13" spans="1:2" x14ac:dyDescent="0.25">
      <c r="A13" t="s">
        <v>72</v>
      </c>
      <c r="B13" s="18">
        <f>B11+B12</f>
        <v>2716290908.441902</v>
      </c>
    </row>
    <row r="14" spans="1:2" x14ac:dyDescent="0.25">
      <c r="A14" s="19" t="s">
        <v>73</v>
      </c>
      <c r="B14" s="24">
        <f>B13/Assumptions!B31</f>
        <v>54.803706489425835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1058760980.0427508</v>
      </c>
    </row>
    <row r="18" spans="1:2" x14ac:dyDescent="0.25">
      <c r="A18" t="s">
        <v>68</v>
      </c>
      <c r="B18" s="18">
        <f>B17*Assumptions!B13</f>
        <v>21175219600.85502</v>
      </c>
    </row>
    <row r="19" spans="1:2" x14ac:dyDescent="0.25">
      <c r="A19" t="s">
        <v>69</v>
      </c>
      <c r="B19" s="18">
        <f>B18/(1+Assumptions!B26)^(10-0.5*Assumptions!B32)</f>
        <v>8915860270.393383</v>
      </c>
    </row>
    <row r="20" spans="1:2" x14ac:dyDescent="0.25">
      <c r="A20" t="s">
        <v>70</v>
      </c>
      <c r="B20" s="18">
        <f>Forecast!B17+B19</f>
        <v>11698973748.925184</v>
      </c>
    </row>
    <row r="21" spans="1:2" x14ac:dyDescent="0.25">
      <c r="A21" t="s">
        <v>71</v>
      </c>
      <c r="B21" s="18">
        <f>-Assumptions!B30</f>
        <v>-2356638000</v>
      </c>
    </row>
    <row r="22" spans="1:2" x14ac:dyDescent="0.25">
      <c r="A22" t="s">
        <v>72</v>
      </c>
      <c r="B22" s="18">
        <f>B20+B21</f>
        <v>9342335748.925184</v>
      </c>
    </row>
    <row r="23" spans="1:2" x14ac:dyDescent="0.25">
      <c r="A23" s="19" t="s">
        <v>73</v>
      </c>
      <c r="B23" s="25">
        <f>B22/Assumptions!B31</f>
        <v>188.4903508378094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359.41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54.803706489425835</v>
      </c>
    </row>
    <row r="29" spans="1:2" x14ac:dyDescent="0.25">
      <c r="A29" s="19" t="s">
        <v>81</v>
      </c>
      <c r="B29" s="11">
        <f>B28/B26-1</f>
        <v>-0.8475175802303057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0.075327</v>
      </c>
      <c r="B5" s="31">
        <v>83.80235514165298</v>
      </c>
      <c r="C5" s="31">
        <v>82.20098640638945</v>
      </c>
      <c r="D5" s="31">
        <v>80.59961767112594</v>
      </c>
      <c r="E5" s="31">
        <v>78.99824893586239</v>
      </c>
      <c r="F5" s="31">
        <v>77.39688020059887</v>
      </c>
    </row>
    <row r="6" spans="1:6" x14ac:dyDescent="0.25">
      <c r="A6" s="30">
        <v>0.085327</v>
      </c>
      <c r="B6" s="31">
        <v>68.86619684482</v>
      </c>
      <c r="C6" s="31">
        <v>67.52834441500791</v>
      </c>
      <c r="D6" s="31">
        <v>66.19049198519582</v>
      </c>
      <c r="E6" s="31">
        <v>64.85263955538372</v>
      </c>
      <c r="F6" s="31">
        <v>63.51478712557161</v>
      </c>
    </row>
    <row r="7" spans="1:6" x14ac:dyDescent="0.25">
      <c r="A7" s="30">
        <v>0.095327</v>
      </c>
      <c r="B7" s="31">
        <v>57.0718030189993</v>
      </c>
      <c r="C7" s="31">
        <v>55.9375698725224</v>
      </c>
      <c r="D7" s="32">
        <v>54.80333672604551</v>
      </c>
      <c r="E7" s="31">
        <v>53.66910357956859</v>
      </c>
      <c r="F7" s="31">
        <v>52.534870433091676</v>
      </c>
    </row>
    <row r="8" spans="1:6" x14ac:dyDescent="0.25">
      <c r="A8" s="30">
        <v>0.105327</v>
      </c>
      <c r="B8" s="31">
        <v>47.52332655071618</v>
      </c>
      <c r="C8" s="31">
        <v>46.550207182456944</v>
      </c>
      <c r="D8" s="31">
        <v>45.577087814197654</v>
      </c>
      <c r="E8" s="31">
        <v>44.603968445938406</v>
      </c>
      <c r="F8" s="31">
        <v>43.63084907767913</v>
      </c>
    </row>
    <row r="9" spans="1:6" x14ac:dyDescent="0.25">
      <c r="A9" s="30">
        <v>0.115327</v>
      </c>
      <c r="B9" s="31">
        <v>39.63574060489591</v>
      </c>
      <c r="C9" s="31">
        <v>38.79256188410426</v>
      </c>
      <c r="D9" s="31">
        <v>37.94938316331261</v>
      </c>
      <c r="E9" s="31">
        <v>37.106204442520955</v>
      </c>
      <c r="F9" s="31">
        <v>36.26302572172928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4015382000</v>
      </c>
      <c r="C5" s="18">
        <v>4049989000</v>
      </c>
      <c r="D5" s="18">
        <v>4129409000</v>
      </c>
      <c r="E5" s="18">
        <v>3976060000</v>
      </c>
      <c r="F5" s="6" t="s">
        <v>91</v>
      </c>
    </row>
    <row r="6" spans="1:6" x14ac:dyDescent="0.25">
      <c r="A6" t="s">
        <v>51</v>
      </c>
      <c r="B6" s="18">
        <v>401136000</v>
      </c>
      <c r="C6" s="18">
        <v>442347000</v>
      </c>
      <c r="D6" s="18">
        <v>617261000</v>
      </c>
      <c r="E6" s="18">
        <v>650975000</v>
      </c>
      <c r="F6" s="6" t="s">
        <v>92</v>
      </c>
    </row>
    <row r="7" spans="1:6" x14ac:dyDescent="0.25">
      <c r="A7" t="s">
        <v>93</v>
      </c>
      <c r="B7" s="18">
        <v>403312000</v>
      </c>
      <c r="C7" s="18">
        <v>361741000</v>
      </c>
      <c r="D7" s="18">
        <v>314124000</v>
      </c>
      <c r="E7" s="18">
        <v>303870000</v>
      </c>
      <c r="F7" s="6" t="s">
        <v>94</v>
      </c>
    </row>
    <row r="8" spans="1:6" x14ac:dyDescent="0.25">
      <c r="A8" t="s">
        <v>95</v>
      </c>
      <c r="B8" s="18">
        <v>219152000</v>
      </c>
      <c r="C8" s="18">
        <v>232967000</v>
      </c>
      <c r="D8" s="18">
        <v>318528000</v>
      </c>
      <c r="E8" s="18">
        <v>324733000</v>
      </c>
      <c r="F8" s="6" t="s">
        <v>96</v>
      </c>
    </row>
    <row r="9" spans="1:6" x14ac:dyDescent="0.25">
      <c r="A9" t="s">
        <v>97</v>
      </c>
      <c r="B9" s="18">
        <v>-14081000</v>
      </c>
      <c r="C9" s="18">
        <v>30329000</v>
      </c>
      <c r="D9" s="18">
        <v>102380000</v>
      </c>
      <c r="E9" s="18">
        <v>152554000</v>
      </c>
      <c r="F9" s="6" t="s">
        <v>98</v>
      </c>
    </row>
    <row r="10" spans="1:6" x14ac:dyDescent="0.25">
      <c r="A10" t="s">
        <v>99</v>
      </c>
      <c r="B10" s="18">
        <v>2570408000</v>
      </c>
      <c r="C10" s="18">
        <v>2723994000</v>
      </c>
      <c r="D10" s="18">
        <v>3066381000</v>
      </c>
      <c r="E10" s="18">
        <v>3097276000</v>
      </c>
      <c r="F10" s="6" t="s">
        <v>100</v>
      </c>
    </row>
    <row r="11" spans="1:6" x14ac:dyDescent="0.25">
      <c r="A11" t="s">
        <v>101</v>
      </c>
      <c r="B11" s="18">
        <v>213770000</v>
      </c>
      <c r="C11" s="18">
        <v>194606000</v>
      </c>
      <c r="D11" s="18">
        <v>276771000</v>
      </c>
      <c r="E11" s="18">
        <v>233912000</v>
      </c>
      <c r="F11" s="6" t="s">
        <v>102</v>
      </c>
    </row>
    <row r="12" spans="1:6" x14ac:dyDescent="0.25">
      <c r="A12" t="s">
        <v>34</v>
      </c>
      <c r="B12" s="34">
        <v>49564000</v>
      </c>
      <c r="C12" s="34">
        <v>51628000</v>
      </c>
      <c r="D12" s="34">
        <v>51451000</v>
      </c>
      <c r="E12" s="34">
        <v>51301000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