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<sst xmlns="http://schemas.openxmlformats.org/spreadsheetml/2006/main" count="112" uniqueCount="100">
  <si>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Salesforce, Inc. (CRM)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</si>
  <si>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</si>
  <si>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</si>
  <si>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</si>
  <si>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</si>
  <si>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</si>
  <si>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</si>
  <si>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</si>
  <si>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</si>
  <si>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</si>
  <si>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</si>
  <si>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</si>
  <si>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</si>
  <si>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</si>
  <si>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</si>
  <si>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</si>
  <si>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</si>
  <si>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</si>
  <si>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</si>
  <si>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</si>
  <si>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</si>
  <si>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</si>
  <si>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</si>
  <si>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</si>
  <si>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</si>
  <si>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</si>
  <si>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</si>
  <si>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</si>
  <si>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</si>
  <si>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</si>
  <si>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</si>
  <si>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</si>
  <si>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</si>
  <si>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</si>
  <si>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</si>
  <si>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</si>
  <si>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</si>
  <si>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</si>
  <si>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</si>
  <si>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</si>
  <si>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</si>
  <si>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</si>
  <si>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</si>
  <si>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</si>
  <si>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</si>
  <si>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</si>
  <si>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</si>
  <si>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</si>
  <si>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</si>
  <si>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</si>
  <si>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</si>
  <si>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</si>
  <si>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</si>
  <si>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</si>
  <si>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</si>
  <si>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</si>
  <si>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</si>
  <si>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</si>
  <si>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</si>
  <si>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</si>
  <si>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</si>
  <si>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</si>
  <si>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</si>
  <si>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</si>
  <si>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</si>
  <si>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</si>
  <si>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</si>
  <si>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</si>
  <si>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</si>
  <si>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</si>
  <si>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</si>
  <si>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</si>
  <si>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</si>
  <si>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</si>
  <si>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</si>
  <si>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</si>
  <si>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</si>
  <si>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</si>
  <si>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</si>
  <si>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</si>
  <si>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</si>
  <si>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</si>
  <si>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</si>
  <si>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</si>
  <si>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</si>
  <si>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</si>
  <si>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</si>
  <si>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</si>
  <si>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</si>
  <si>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</si>
  <si>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</si>
  <si>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</si>
  <si>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</si>
  <si>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</si>
  <si>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</si>
  <si>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</si>
  <si>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</si>
  <si>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</si>
  <si>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1.96% of revenue against depreciation and amortisation of 10.34%. A business cannot depreciate more than it invests indefinitely. Capex has been set to 10.34%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</si>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</sst>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0.09820006113830493</v>
      </c>
    </row>
    <row r="7" spans="1:2" x14ac:dyDescent="0.25">
      <c r="A7" t="s">
        <v>5</v>
      </c>
      <c r="B7" s="6">
        <v>0.16209991457532685</v>
      </c>
    </row>
    <row r="8" spans="1:2" x14ac:dyDescent="0.25">
      <c r="A8" t="s">
        <v>6</v>
      </c>
      <c r="B8" s="6">
        <v>0.19177380349827483</v>
      </c>
    </row>
    <row r="9" spans="1:2" x14ac:dyDescent="0.25">
      <c r="A9" t="s">
        <v>7</v>
      </c>
      <c r="B9" s="6">
        <v>0.10338275265940808</v>
      </c>
    </row>
    <row r="10" spans="1:2" x14ac:dyDescent="0.25">
      <c r="A10" t="s">
        <v>8</v>
      </c>
      <c r="B10" s="6">
        <v>0.10338275265940808</v>
      </c>
    </row>
    <row r="11" spans="1:2" x14ac:dyDescent="0.25">
      <c r="A11" t="s">
        <v>9</v>
      </c>
      <c r="B11" s="6">
        <v>0.652073732718894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16.211281948358305</v>
      </c>
    </row>
    <row r="14" spans="1:3" x14ac:dyDescent="0.25">
      <c r="A14" t="s">
        <v>12</v>
      </c>
      <c r="B14" s="6">
        <v>0.10791857358140208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1.13534</v>
      </c>
      <c r="C19" s="8" t="s">
        <v>19</v>
      </c>
    </row>
    <row r="20" spans="1:2" x14ac:dyDescent="0.25">
      <c r="A20" t="s">
        <v>20</v>
      </c>
      <c r="B20" s="10">
        <f>B17+B19*B18</f>
        <v>0.1124237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195808165888</v>
      </c>
    </row>
    <row r="23" spans="1:2" x14ac:dyDescent="0.25">
      <c r="A23" t="s">
        <v>24</v>
      </c>
      <c r="B23" s="11">
        <v>17176000000</v>
      </c>
    </row>
    <row r="24" spans="1:2" x14ac:dyDescent="0.25">
      <c r="A24" t="s">
        <v>25</v>
      </c>
      <c r="B24" s="10">
        <f>B22/(B22+B23)</f>
        <v>0.9193555073524471</v>
      </c>
    </row>
    <row r="25" spans="1:2" x14ac:dyDescent="0.25">
      <c r="A25" t="s">
        <v>26</v>
      </c>
      <c r="B25" s="10">
        <f>1-B24</f>
        <v>0.08064449264755291</v>
      </c>
    </row>
    <row r="26" spans="1:2" x14ac:dyDescent="0.25">
      <c r="A26" t="s">
        <v>27</v>
      </c>
      <c r="B26" s="12">
        <f>B24*B20+B25*B21*(1-B8)</f>
        <v>0.10791857358140208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41525000000</v>
      </c>
      <c r="C29" s="8" t="s">
        <v>30</v>
      </c>
    </row>
    <row r="30" spans="1:2" x14ac:dyDescent="0.25">
      <c r="A30" t="s">
        <v>31</v>
      </c>
      <c r="B30" s="11">
        <v>7611000000</v>
      </c>
    </row>
    <row r="31" spans="1:2" x14ac:dyDescent="0.25">
      <c r="A31" t="s">
        <v>32</v>
      </c>
      <c r="B31" s="13">
        <v>956000000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0.09820006113830493</v>
      </c>
      <c r="C5" s="10">
        <f>Assumptions!B6</f>
        <v>0.09820006113830493</v>
      </c>
      <c r="D5" s="10">
        <f>Assumptions!B6</f>
        <v>0.09820006113830493</v>
      </c>
      <c r="E5" s="10">
        <f>Assumptions!B6</f>
        <v>0.09820006113830493</v>
      </c>
      <c r="F5" s="10">
        <f>Assumptions!B6</f>
        <v>0.09820006113830493</v>
      </c>
    </row>
    <row r="6" spans="1:6" x14ac:dyDescent="0.25">
      <c r="A6" t="s">
        <v>43</v>
      </c>
      <c r="B6" s="18">
        <f>Assumptions!B29*(1+B5)</f>
        <v>45602757538.76811</v>
      </c>
      <c r="C6" s="18">
        <f>B6*(1+C5)</f>
        <v>50080951117.15044</v>
      </c>
      <c r="D6" s="18">
        <f>C6*(1+D5)</f>
        <v>54998903578.71907</v>
      </c>
      <c r="E6" s="18">
        <f>D6*(1+E5)</f>
        <v>60399799272.68902</v>
      </c>
      <c r="F6" s="18">
        <f>E6*(1+F5)</f>
        <v>66331063254.00842</v>
      </c>
    </row>
    <row r="7" spans="1:6" x14ac:dyDescent="0.25">
      <c r="A7" t="s">
        <v>5</v>
      </c>
      <c r="B7" s="10">
        <f>Assumptions!B7</f>
        <v>0.16209991457532685</v>
      </c>
      <c r="C7" s="10">
        <f>Assumptions!B7</f>
        <v>0.16209991457532685</v>
      </c>
      <c r="D7" s="10">
        <f>Assumptions!B7</f>
        <v>0.16209991457532685</v>
      </c>
      <c r="E7" s="10">
        <f>Assumptions!B7</f>
        <v>0.16209991457532685</v>
      </c>
      <c r="F7" s="10">
        <f>Assumptions!B7</f>
        <v>0.16209991457532685</v>
      </c>
    </row>
    <row r="8" spans="1:6" x14ac:dyDescent="0.25">
      <c r="A8" t="s">
        <v>44</v>
      </c>
      <c r="B8" s="18">
        <f>B6*B7</f>
        <v>7392203101.433654</v>
      </c>
      <c r="C8" s="18">
        <f>C6*C7</f>
        <v>8118117897.941206</v>
      </c>
      <c r="D8" s="18">
        <f>D6*D7</f>
        <v>8915317571.847</v>
      </c>
      <c r="E8" s="18">
        <f>E6*E7</f>
        <v>9790802302.469778</v>
      </c>
      <c r="F8" s="18">
        <f>F6*F7</f>
        <v>10752259687.165367</v>
      </c>
    </row>
    <row r="9" spans="1:6" x14ac:dyDescent="0.25">
      <c r="A9" t="s">
        <v>45</v>
      </c>
      <c r="B9" s="18">
        <f>B8*(1-Assumptions!B8)</f>
        <v>5974572196.439979</v>
      </c>
      <c r="C9" s="18">
        <f>C8*(1-Assumptions!B8)</f>
        <v>6561275551.4056015</v>
      </c>
      <c r="D9" s="18">
        <f>D8*(1-Assumptions!B8)</f>
        <v>7205593211.698897</v>
      </c>
      <c r="E9" s="18">
        <f>E8*(1-Assumptions!B8)</f>
        <v>7913182905.625483</v>
      </c>
      <c r="F9" s="18">
        <f>F8*(1-Assumptions!B8)</f>
        <v>8690257950.756495</v>
      </c>
    </row>
    <row r="10" spans="1:6" x14ac:dyDescent="0.25">
      <c r="A10" t="s">
        <v>46</v>
      </c>
      <c r="B10" s="18">
        <f>B6*Assumptions!B9</f>
        <v>4714538603.217421</v>
      </c>
      <c r="C10" s="18">
        <f>C6*Assumptions!B9</f>
        <v>5177506582.292271</v>
      </c>
      <c r="D10" s="18">
        <f>D6*Assumptions!B9</f>
        <v>5685938045.217347</v>
      </c>
      <c r="E10" s="18">
        <f>E6*Assumptions!B9</f>
        <v>6244297508.886305</v>
      </c>
      <c r="F10" s="18">
        <f>F6*Assumptions!B9</f>
        <v>6857487906.024705</v>
      </c>
    </row>
    <row r="11" spans="1:6" x14ac:dyDescent="0.25">
      <c r="A11" t="s">
        <v>47</v>
      </c>
      <c r="B11" s="18">
        <f>-B6*Assumptions!B10</f>
        <v>-4714538603.217421</v>
      </c>
      <c r="C11" s="18">
        <f>-C6*Assumptions!B10</f>
        <v>-5177506582.292271</v>
      </c>
      <c r="D11" s="18">
        <f>-D6*Assumptions!B10</f>
        <v>-5685938045.217347</v>
      </c>
      <c r="E11" s="18">
        <f>-E6*Assumptions!B10</f>
        <v>-6244297508.886305</v>
      </c>
      <c r="F11" s="18">
        <f>-F6*Assumptions!B10</f>
        <v>-6857487906.024705</v>
      </c>
    </row>
    <row r="12" spans="1:6" x14ac:dyDescent="0.25">
      <c r="A12" t="s">
        <v>48</v>
      </c>
      <c r="B12" s="18">
        <f>-(B6-Assumptions!B29)*Assumptions!B11</f>
        <v>-2658998579.427133</v>
      </c>
      <c r="C12" s="18">
        <f>-(C6-B6)*Assumptions!B11</f>
        <v>-2920112402.493543</v>
      </c>
      <c r="D12" s="18">
        <f>-(D6-C6)*Assumptions!B11</f>
        <v>-3206867618.9491324</v>
      </c>
      <c r="E12" s="18">
        <f>-(E6-D6)*Assumptions!B11</f>
        <v>-3521782215.192385</v>
      </c>
      <c r="F12" s="18">
        <f>-(F6-E6)*Assumptions!B11</f>
        <v>-3867621444.0400724</v>
      </c>
    </row>
    <row r="13" spans="1:6" x14ac:dyDescent="0.25">
      <c r="A13" s="19" t="s">
        <v>49</v>
      </c>
      <c r="B13" s="20">
        <f>B9+B10+B11+B12</f>
        <v>3315573617.0128446</v>
      </c>
      <c r="C13" s="20">
        <f>C9+C10+C11+C12</f>
        <v>3641163148.9120584</v>
      </c>
      <c r="D13" s="20">
        <f>D9+D10+D11+D12</f>
        <v>3998725592.749765</v>
      </c>
      <c r="E13" s="20">
        <f>E9+E10+E11+E12</f>
        <v>4391400690.433098</v>
      </c>
      <c r="F13" s="20">
        <f>F9+F10+F11+F12</f>
        <v>4822636506.716424</v>
      </c>
    </row>
    <row r="14" spans="1:6" x14ac:dyDescent="0.25">
      <c r="A14" t="s">
        <v>50</v>
      </c>
      <c r="B14" s="21">
        <f>1/(1+Assumptions!$B$26)^(1-0.5*Assumptions!$B$32)</f>
        <v>0.9500491603034574</v>
      </c>
      <c r="C14" s="21">
        <f>1/(1+Assumptions!$B$26)^(2-0.5*Assumptions!$B$32)</f>
        <v>0.8575081084094258</v>
      </c>
      <c r="D14" s="21">
        <f>1/(1+Assumptions!$B$26)^(3-0.5*Assumptions!$B$32)</f>
        <v>0.7739811650936477</v>
      </c>
      <c r="E14" s="21">
        <f>1/(1+Assumptions!$B$26)^(4-0.5*Assumptions!$B$32)</f>
        <v>0.6985902967505229</v>
      </c>
      <c r="F14" s="21">
        <f>1/(1+Assumptions!$B$26)^(5-0.5*Assumptions!$B$32)</f>
        <v>0.6305429960365182</v>
      </c>
    </row>
    <row r="15" spans="1:6" x14ac:dyDescent="0.25">
      <c r="A15" s="19" t="s">
        <v>51</v>
      </c>
      <c r="B15" s="20">
        <f>B13*B14</f>
        <v>3149957930.76735</v>
      </c>
      <c r="C15" s="20">
        <f>C13*C14</f>
        <v>3122326924.2336874</v>
      </c>
      <c r="D15" s="20">
        <f>D13*D14</f>
        <v>3094938293.1662498</v>
      </c>
      <c r="E15" s="20">
        <f>E13*E14</f>
        <v>3067789911.4801087</v>
      </c>
      <c r="F15" s="20">
        <f>F13*F14</f>
        <v>3040879671.740062</v>
      </c>
    </row>
    <row r="17" spans="1:2" x14ac:dyDescent="0.25">
      <c r="A17" s="22" t="s">
        <v>52</v>
      </c>
      <c r="B17" s="23">
        <f>SUM(B15:F15)</f>
        <v>15475892731.387459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4822636506.716424</v>
      </c>
    </row>
    <row r="5" spans="1:2" x14ac:dyDescent="0.25">
      <c r="A5" t="s">
        <v>56</v>
      </c>
      <c r="B5" s="18">
        <f>IF(Assumptions!$B$33=0,B4,B4-Forecast!F11-Forecast!F10-Forecast!F12)</f>
        <v>8690257950.756495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0.2316561382378049</v>
      </c>
    </row>
    <row r="7" spans="1:2" x14ac:dyDescent="0.25">
      <c r="A7" t="s">
        <v>58</v>
      </c>
      <c r="B7" s="18">
        <f>-MAX(Forecast!F9,0)*B6</f>
        <v>-2013151597.1626296</v>
      </c>
    </row>
    <row r="8" spans="1:2" x14ac:dyDescent="0.25">
      <c r="A8" t="s">
        <v>59</v>
      </c>
      <c r="B8" s="18">
        <f>IF(OR(Assumptions!$B$33=0,Assumptions!B12&lt;=0),B5,MAX(B5+B7,0))</f>
        <v>6677106353.593864</v>
      </c>
    </row>
    <row r="9" spans="1:2" x14ac:dyDescent="0.25">
      <c r="A9" t="s">
        <v>60</v>
      </c>
      <c r="B9" s="18">
        <f>B8*(1+Assumptions!B12)/(Assumptions!B26-Assumptions!B12)</f>
        <v>82539215483.66779</v>
      </c>
    </row>
    <row r="10" spans="1:2" x14ac:dyDescent="0.25">
      <c r="A10" t="s">
        <v>61</v>
      </c>
      <c r="B10" s="18">
        <f>B9/(1+Assumptions!B26)^(5-0.5*Assumptions!B32)</f>
        <v>52044524221.57566</v>
      </c>
    </row>
    <row r="11" spans="1:2" x14ac:dyDescent="0.25">
      <c r="A11" t="s">
        <v>62</v>
      </c>
      <c r="B11" s="18">
        <f>Forecast!B17+B10</f>
        <v>67520416952.96312</v>
      </c>
    </row>
    <row r="12" spans="1:2" x14ac:dyDescent="0.25">
      <c r="A12" t="s">
        <v>63</v>
      </c>
      <c r="B12" s="18">
        <f>-Assumptions!B30</f>
        <v>-7611000000</v>
      </c>
    </row>
    <row r="13" spans="1:2" x14ac:dyDescent="0.25">
      <c r="A13" t="s">
        <v>64</v>
      </c>
      <c r="B13" s="18">
        <f>B11+B12</f>
        <v>59909416952.96312</v>
      </c>
    </row>
    <row r="14" spans="1:2" x14ac:dyDescent="0.25">
      <c r="A14" s="19" t="s">
        <v>65</v>
      </c>
      <c r="B14" s="24">
        <f>B13/Assumptions!B31</f>
        <v>62.66675413489866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17609747593.19007</v>
      </c>
    </row>
    <row r="18" spans="1:2" x14ac:dyDescent="0.25">
      <c r="A18" t="s">
        <v>60</v>
      </c>
      <c r="B18" s="18">
        <f>B17*Assumptions!B13</f>
        <v>285476583272.6283</v>
      </c>
    </row>
    <row r="19" spans="1:2" x14ac:dyDescent="0.25">
      <c r="A19" t="s">
        <v>61</v>
      </c>
      <c r="B19" s="18">
        <f>B18/(1+Assumptions!B26)^(5-0.5*Assumptions!B32)</f>
        <v>180005260114.9916</v>
      </c>
    </row>
    <row r="20" spans="1:2" x14ac:dyDescent="0.25">
      <c r="A20" t="s">
        <v>62</v>
      </c>
      <c r="B20" s="18">
        <f>Forecast!B17+B19</f>
        <v>195481152846.37906</v>
      </c>
    </row>
    <row r="21" spans="1:2" x14ac:dyDescent="0.25">
      <c r="A21" t="s">
        <v>63</v>
      </c>
      <c r="B21" s="18">
        <f>-Assumptions!B30</f>
        <v>-7611000000</v>
      </c>
    </row>
    <row r="22" spans="1:2" x14ac:dyDescent="0.25">
      <c r="A22" t="s">
        <v>64</v>
      </c>
      <c r="B22" s="18">
        <f>B20+B21</f>
        <v>187870152846.37906</v>
      </c>
    </row>
    <row r="23" spans="1:2" x14ac:dyDescent="0.25">
      <c r="A23" s="19" t="s">
        <v>65</v>
      </c>
      <c r="B23" s="25">
        <f>B22/Assumptions!B31</f>
        <v>196.5168962828233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237.92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62.66675413489866</v>
      </c>
    </row>
    <row r="29" spans="1:2" x14ac:dyDescent="0.25">
      <c r="A29" s="19" t="s">
        <v>73</v>
      </c>
      <c r="B29" s="12">
        <f>B28/B26-1</f>
        <v>-0.7366057744834454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0.087919</v>
      </c>
      <c r="B5" s="31">
        <v>80.80598459416501</v>
      </c>
      <c r="C5" s="31">
        <v>81.15980063049112</v>
      </c>
      <c r="D5" s="31">
        <v>81.51361666681723</v>
      </c>
      <c r="E5" s="31">
        <v>81.86743270314335</v>
      </c>
      <c r="F5" s="31">
        <v>82.22124873946947</v>
      </c>
    </row>
    <row r="6" spans="1:6" x14ac:dyDescent="0.25">
      <c r="A6" s="30">
        <v>0.097919</v>
      </c>
      <c r="B6" s="31">
        <v>70.48485632566269</v>
      </c>
      <c r="C6" s="31">
        <v>70.78972405525832</v>
      </c>
      <c r="D6" s="31">
        <v>71.09459178485393</v>
      </c>
      <c r="E6" s="31">
        <v>71.39945951444955</v>
      </c>
      <c r="F6" s="31">
        <v>71.70432724404517</v>
      </c>
    </row>
    <row r="7" spans="1:6" x14ac:dyDescent="0.25">
      <c r="A7" s="30">
        <v>0.107919</v>
      </c>
      <c r="B7" s="31">
        <v>62.13531152186252</v>
      </c>
      <c r="C7" s="31">
        <v>62.40087039746052</v>
      </c>
      <c r="D7" s="32">
        <v>62.66642927305851</v>
      </c>
      <c r="E7" s="31">
        <v>62.931988148656494</v>
      </c>
      <c r="F7" s="31">
        <v>63.19754702425449</v>
      </c>
    </row>
    <row r="8" spans="1:6" x14ac:dyDescent="0.25">
      <c r="A8" s="30">
        <v>0.117919</v>
      </c>
      <c r="B8" s="31">
        <v>55.25274000229916</v>
      </c>
      <c r="C8" s="31">
        <v>55.48614732324276</v>
      </c>
      <c r="D8" s="31">
        <v>55.71955464418634</v>
      </c>
      <c r="E8" s="31">
        <v>55.95296196512994</v>
      </c>
      <c r="F8" s="31">
        <v>56.18636928607353</v>
      </c>
    </row>
    <row r="9" spans="1:6" x14ac:dyDescent="0.25">
      <c r="A9" s="30">
        <v>0.127919</v>
      </c>
      <c r="B9" s="31">
        <v>49.49050107920634</v>
      </c>
      <c r="C9" s="31">
        <v>49.697209951596804</v>
      </c>
      <c r="D9" s="31">
        <v>49.90391882398726</v>
      </c>
      <c r="E9" s="31">
        <v>50.11062769637773</v>
      </c>
      <c r="F9" s="31">
        <v>50.31733656876818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41525000000</v>
      </c>
      <c r="C5" s="18">
        <v>37895000000</v>
      </c>
      <c r="D5" s="18">
        <v>34857000000</v>
      </c>
      <c r="E5" s="18">
        <v>31352000000</v>
      </c>
      <c r="F5" s="8" t="s">
        <v>84</v>
      </c>
    </row>
    <row r="6" spans="1:6" x14ac:dyDescent="0.25">
      <c r="A6" t="s">
        <v>44</v>
      </c>
      <c r="B6" s="18">
        <v>8917000000</v>
      </c>
      <c r="C6" s="18">
        <v>7666000000</v>
      </c>
      <c r="D6" s="18">
        <v>5999000000</v>
      </c>
      <c r="E6" s="18">
        <v>1858000000</v>
      </c>
      <c r="F6" s="8" t="s">
        <v>85</v>
      </c>
    </row>
    <row r="7" spans="1:6" x14ac:dyDescent="0.25">
      <c r="A7" t="s">
        <v>86</v>
      </c>
      <c r="B7" s="18">
        <v>3631000000</v>
      </c>
      <c r="C7" s="18">
        <v>3477000000</v>
      </c>
      <c r="D7" s="18">
        <v>3959000000</v>
      </c>
      <c r="E7" s="18">
        <v>3786000000</v>
      </c>
      <c r="F7" s="8" t="s">
        <v>87</v>
      </c>
    </row>
    <row r="8" spans="1:6" x14ac:dyDescent="0.25">
      <c r="A8" t="s">
        <v>88</v>
      </c>
      <c r="B8" s="18">
        <v>594000000</v>
      </c>
      <c r="C8" s="18">
        <v>658000000</v>
      </c>
      <c r="D8" s="18">
        <v>736000000</v>
      </c>
      <c r="E8" s="18">
        <v>798000000</v>
      </c>
      <c r="F8" s="8" t="s">
        <v>89</v>
      </c>
    </row>
    <row r="9" spans="1:6" x14ac:dyDescent="0.25">
      <c r="A9" t="s">
        <v>90</v>
      </c>
      <c r="B9" s="18">
        <v>781000000</v>
      </c>
      <c r="C9" s="18">
        <v>1981000000</v>
      </c>
      <c r="D9" s="18">
        <v>2850000000</v>
      </c>
      <c r="E9" s="18">
        <v>2069000000</v>
      </c>
      <c r="F9" s="8" t="s">
        <v>91</v>
      </c>
    </row>
    <row r="10" spans="1:6" x14ac:dyDescent="0.25">
      <c r="A10" t="s">
        <v>92</v>
      </c>
      <c r="B10" s="18">
        <v>17176000000</v>
      </c>
      <c r="C10" s="18">
        <v>11392000000</v>
      </c>
      <c r="D10" s="18">
        <v>12588000000</v>
      </c>
      <c r="E10" s="18">
        <v>14088000000</v>
      </c>
      <c r="F10" s="8" t="s">
        <v>93</v>
      </c>
    </row>
    <row r="11" spans="1:6" x14ac:dyDescent="0.25">
      <c r="A11" t="s">
        <v>94</v>
      </c>
      <c r="B11" s="18">
        <v>9565000000</v>
      </c>
      <c r="C11" s="18">
        <v>14032000000</v>
      </c>
      <c r="D11" s="18">
        <v>14194000000</v>
      </c>
      <c r="E11" s="18">
        <v>12508000000</v>
      </c>
      <c r="F11" s="8" t="s">
        <v>95</v>
      </c>
    </row>
    <row r="12" spans="1:6" x14ac:dyDescent="0.25">
      <c r="A12" t="s">
        <v>32</v>
      </c>
      <c r="B12" s="34">
        <v>956000000</v>
      </c>
      <c r="C12" s="34">
        <v>974000000</v>
      </c>
      <c r="D12" s="34">
        <v>984000000</v>
      </c>
      <c r="E12" s="34">
        <v>997000000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2026-09-19T00:08:14Z</dcterms:modified>
</cp:coreProperties>
</file>