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<sst xmlns="http://schemas.openxmlformats.org/spreadsheetml/2006/main" count="120" uniqueCount="107">
  <si>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Salesforce, Inc. (CRM)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</si>
  <si>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</si>
  <si>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</si>
  <si>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</si>
  <si>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</si>
  <si>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</si>
  <si>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</si>
  <si>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</si>
  <si>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</si>
  <si>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</si>
  <si>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</si>
  <si>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</si>
  <si>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</si>
  <si>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</si>
  <si>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</si>
  <si>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</si>
  <si>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</si>
  <si>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</si>
  <si>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</si>
  <si>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</si>
  <si>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</si>
  <si>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</si>
  <si>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</si>
  <si>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</si>
  <si>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</si>
  <si>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</si>
  <si>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</si>
  <si>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</si>
  <si>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</si>
  <si>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</si>
  <si>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</si>
  <si>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</si>
  <si>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</si>
  <si>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</si>
  <si>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</si>
  <si>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</si>
  <si>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</si>
  <si>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</si>
  <si>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</si>
  <si>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</si>
  <si>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</si>
  <si>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</si>
  <si>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</si>
  <si>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</si>
  <si>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</si>
  <si>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</si>
  <si>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</si>
  <si>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</si>
  <si>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</si>
  <si>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</si>
  <si>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</si>
  <si>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</si>
  <si>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</si>
  <si>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</si>
  <si>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</si>
  <si>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</si>
  <si>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</si>
  <si>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</si>
  <si>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</si>
  <si>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</si>
  <si>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</si>
  <si>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</si>
  <si>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</si>
  <si>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</si>
  <si>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</si>
  <si>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</si>
  <si>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</si>
  <si>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</si>
  <si>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</si>
  <si>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</si>
  <si>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</si>
  <si>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</si>
  <si>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</si>
  <si>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</si>
  <si>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</si>
  <si>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</si>
  <si>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</si>
  <si>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</si>
  <si>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</si>
  <si>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</si>
  <si>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</si>
  <si>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</si>
  <si>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</si>
  <si>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</si>
  <si>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</si>
  <si>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</si>
  <si>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</si>
  <si>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</si>
  <si>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</si>
  <si>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</si>
  <si>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</si>
  <si>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</si>
  <si>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</si>
  <si>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</si>
  <si>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</si>
  <si>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</si>
  <si>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</si>
  <si>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</si>
  <si>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</si>
  <si>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</si>
  <si>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</si>
  <si>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</si>
  <si>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</si>
  <si>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</si>
  <si>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</si>
  <si>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1.96% of revenue against depreciation and amortisation of 10.34%. A business cannot depreciate more than it invests indefinitely. Capex has been set to 10.34%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</si>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</sst>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0.11487870752558704</v>
      </c>
    </row>
    <row r="7" spans="1:2" x14ac:dyDescent="0.25">
      <c r="A7" t="s">
        <v>4</v>
      </c>
      <c r="B7" s="5">
        <v>0.16209991457532685</v>
      </c>
    </row>
    <row r="8" spans="1:2" x14ac:dyDescent="0.25">
      <c r="A8" t="s">
        <v>5</v>
      </c>
      <c r="B8" s="5">
        <v>0.19177380349827483</v>
      </c>
    </row>
    <row r="9" spans="1:2" x14ac:dyDescent="0.25">
      <c r="A9" t="s">
        <v>6</v>
      </c>
      <c r="B9" s="5">
        <v>0.10338275265940808</v>
      </c>
    </row>
    <row r="10" spans="1:3" x14ac:dyDescent="0.25">
      <c r="A10" t="s">
        <v>7</v>
      </c>
      <c r="B10" s="5">
        <v>0.10338275265940808</v>
      </c>
      <c r="C10" s="6" t="s">
        <v>8</v>
      </c>
    </row>
    <row r="11" spans="1:2" x14ac:dyDescent="0.25">
      <c r="A11" t="s">
        <v>9</v>
      </c>
      <c r="B11" s="5">
        <v>0.652073732718894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15.637384951227288</v>
      </c>
    </row>
    <row r="14" spans="1:3" x14ac:dyDescent="0.25">
      <c r="A14" t="s">
        <v>12</v>
      </c>
      <c r="B14" s="5">
        <v>0.09492491342923232</v>
      </c>
      <c r="C14" s="6" t="s">
        <v>13</v>
      </c>
    </row>
    <row r="15" spans="1:3" x14ac:dyDescent="0.25">
      <c r="A15" t="s">
        <v>14</v>
      </c>
      <c r="B15" s="5">
        <v>0.10338275265940808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1.1715200000000001</v>
      </c>
      <c r="C19" s="6" t="s">
        <v>21</v>
      </c>
    </row>
    <row r="20" spans="1:2" x14ac:dyDescent="0.25">
      <c r="A20" t="s">
        <v>22</v>
      </c>
      <c r="B20" s="9">
        <f>B17+B19*B18</f>
        <v>0.09849529600000001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188606906368</v>
      </c>
    </row>
    <row r="23" spans="1:2" x14ac:dyDescent="0.25">
      <c r="A23" t="s">
        <v>26</v>
      </c>
      <c r="B23" s="10">
        <v>17176000000</v>
      </c>
    </row>
    <row r="24" spans="1:2" x14ac:dyDescent="0.25">
      <c r="A24" t="s">
        <v>27</v>
      </c>
      <c r="B24" s="9">
        <f>B22/(B22+B23)</f>
        <v>0.916533397728943</v>
      </c>
    </row>
    <row r="25" spans="1:2" x14ac:dyDescent="0.25">
      <c r="A25" t="s">
        <v>28</v>
      </c>
      <c r="B25" s="9">
        <f>1-B24</f>
        <v>0.08346660227105696</v>
      </c>
    </row>
    <row r="26" spans="1:2" x14ac:dyDescent="0.25">
      <c r="A26" t="s">
        <v>29</v>
      </c>
      <c r="B26" s="11">
        <f>B24*B20+B25*B21*(1-B8)</f>
        <v>0.09492491342923232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41525000000</v>
      </c>
      <c r="C29" s="6" t="s">
        <v>32</v>
      </c>
    </row>
    <row r="30" spans="1:2" x14ac:dyDescent="0.25">
      <c r="A30" t="s">
        <v>33</v>
      </c>
      <c r="B30" s="10">
        <v>7611000000</v>
      </c>
    </row>
    <row r="31" spans="1:2" x14ac:dyDescent="0.25">
      <c r="A31" t="s">
        <v>34</v>
      </c>
      <c r="B31" s="12">
        <v>956000000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0.11487870752558704</v>
      </c>
      <c r="C5" s="5">
        <v>0.09688772912786714</v>
      </c>
      <c r="D5" s="5">
        <v>0.08790176298688375</v>
      </c>
      <c r="E5" s="5">
        <v>0.07891579684590036</v>
      </c>
      <c r="F5" s="5">
        <v>0.06992983070491696</v>
      </c>
      <c r="G5" s="5">
        <v>0.06094386456393357</v>
      </c>
      <c r="H5" s="5">
        <v>0.05195789842295018</v>
      </c>
      <c r="I5" s="5">
        <v>0.04297193228196678</v>
      </c>
      <c r="J5" s="5">
        <v>0.033985966140983384</v>
      </c>
      <c r="K5" s="5">
        <v>0.024999999999999994</v>
      </c>
    </row>
    <row r="6" spans="1:11" x14ac:dyDescent="0.25">
      <c r="A6" t="s">
        <v>50</v>
      </c>
      <c r="B6" s="18">
        <f>Assumptions!B29*(1+B5)</f>
        <v>46295338330</v>
      </c>
      <c r="C6" s="18">
        <f>B6*(1+C5)</f>
        <v>50780788530.00001</v>
      </c>
      <c r="D6" s="18">
        <f>C6*(1+D5)</f>
        <v>55244509367.65113</v>
      </c>
      <c r="E6" s="18">
        <f>D6*(1+E5)</f>
        <v>59604173845.76013</v>
      </c>
      <c r="F6" s="18">
        <f>E6*(1+F5)</f>
        <v>63772283632.10058</v>
      </c>
      <c r="G6" s="18">
        <f>F6*(1+G5)</f>
        <v>67658813048.70807</v>
      </c>
      <c r="H6" s="18">
        <f>G6*(1+H5)</f>
        <v>71174222784.51021</v>
      </c>
      <c r="I6" s="18">
        <f>H6*(1+I5)</f>
        <v>74232716666.2278</v>
      </c>
      <c r="J6" s="18">
        <f>I6*(1+J5)</f>
        <v>76755587261.39943</v>
      </c>
      <c r="K6" s="18">
        <f>J6*(1+K5)</f>
        <v>78674476942.9344</v>
      </c>
    </row>
    <row r="7" spans="1:11" x14ac:dyDescent="0.25">
      <c r="A7" t="s">
        <v>4</v>
      </c>
      <c r="B7" s="9">
        <f>Assumptions!B7</f>
        <v>0.16209991457532685</v>
      </c>
      <c r="C7" s="9">
        <f>Assumptions!B7</f>
        <v>0.16209991457532685</v>
      </c>
      <c r="D7" s="9">
        <f>Assumptions!B7</f>
        <v>0.16209991457532685</v>
      </c>
      <c r="E7" s="9">
        <f>Assumptions!B7</f>
        <v>0.16209991457532685</v>
      </c>
      <c r="F7" s="9">
        <f>Assumptions!B7</f>
        <v>0.16209991457532685</v>
      </c>
      <c r="G7" s="9">
        <f>Assumptions!B7</f>
        <v>0.16209991457532685</v>
      </c>
      <c r="H7" s="9">
        <f>Assumptions!B7</f>
        <v>0.16209991457532685</v>
      </c>
      <c r="I7" s="9">
        <f>Assumptions!B7</f>
        <v>0.16209991457532685</v>
      </c>
      <c r="J7" s="9">
        <f>Assumptions!B7</f>
        <v>0.16209991457532685</v>
      </c>
      <c r="K7" s="9">
        <f>Assumptions!B7</f>
        <v>0.16209991457532685</v>
      </c>
    </row>
    <row r="8" spans="1:11" x14ac:dyDescent="0.25">
      <c r="A8" t="s">
        <v>51</v>
      </c>
      <c r="B8" s="18">
        <f>B6*B7</f>
        <v>7504470388.528855</v>
      </c>
      <c r="C8" s="18">
        <f>C6*C7</f>
        <v>8231561482.780739</v>
      </c>
      <c r="D8" s="18">
        <f>D6*D7</f>
        <v>8955130249.252092</v>
      </c>
      <c r="E8" s="18">
        <f>E6*E7</f>
        <v>9661831488.730648</v>
      </c>
      <c r="F8" s="18">
        <f>F6*F7</f>
        <v>10337481729.037018</v>
      </c>
      <c r="G8" s="18">
        <f>G6*G7</f>
        <v>10967487815.463589</v>
      </c>
      <c r="H8" s="18">
        <f>H6*H7</f>
        <v>11537335433.334387</v>
      </c>
      <c r="I8" s="18">
        <f>I6*I7</f>
        <v>12033117030.289968</v>
      </c>
      <c r="J8" s="18">
        <f>J6*J7</f>
        <v>12442074138.251894</v>
      </c>
      <c r="K8" s="18">
        <f>K6*K7</f>
        <v>12753125991.708189</v>
      </c>
    </row>
    <row r="9" spans="1:11" x14ac:dyDescent="0.25">
      <c r="A9" t="s">
        <v>52</v>
      </c>
      <c r="B9" s="18">
        <f>B8*(1-Assumptions!B8)</f>
        <v>6065309558.880501</v>
      </c>
      <c r="C9" s="18">
        <f>C8*(1-Assumptions!B8)</f>
        <v>6652963628.497978</v>
      </c>
      <c r="D9" s="18">
        <f>D8*(1-Assumptions!B8)</f>
        <v>7237770860.530565</v>
      </c>
      <c r="E9" s="18">
        <f>E8*(1-Assumptions!B8)</f>
        <v>7808945315.377373</v>
      </c>
      <c r="F9" s="18">
        <f>F8*(1-Assumptions!B8)</f>
        <v>8355023539.265667</v>
      </c>
      <c r="G9" s="18">
        <f>G8*(1-Assumptions!B8)</f>
        <v>8864210962.271152</v>
      </c>
      <c r="H9" s="18">
        <f>H8*(1-Assumptions!B8)</f>
        <v>9324776735.048435</v>
      </c>
      <c r="I9" s="18">
        <f>I8*(1-Assumptions!B8)</f>
        <v>9725480409.451397</v>
      </c>
      <c r="J9" s="18">
        <f>J8*(1-Assumptions!B8)</f>
        <v>10056010257.351809</v>
      </c>
      <c r="K9" s="18">
        <f>K8*(1-Assumptions!B8)</f>
        <v>10307410513.785603</v>
      </c>
    </row>
    <row r="10" spans="1:11" x14ac:dyDescent="0.25">
      <c r="A10" t="s">
        <v>53</v>
      </c>
      <c r="B10" s="18">
        <f>B6*Assumptions!B9</f>
        <v>4786139511.854004</v>
      </c>
      <c r="C10" s="18">
        <f>C6*Assumptions!B9</f>
        <v>5249857700.446697</v>
      </c>
      <c r="D10" s="18">
        <f>D6*Assumptions!B9</f>
        <v>5711329447.746229</v>
      </c>
      <c r="E10" s="18">
        <f>E6*Assumptions!B9</f>
        <v>6162043562.164579</v>
      </c>
      <c r="F10" s="18">
        <f>F6*Assumptions!B9</f>
        <v>6592954225.263072</v>
      </c>
      <c r="G10" s="18">
        <f>G6*Assumptions!B9</f>
        <v>6994754334.643718</v>
      </c>
      <c r="H10" s="18">
        <f>H6*Assumptions!B9</f>
        <v>7358187069.856626</v>
      </c>
      <c r="I10" s="18">
        <f>I6*Assumptions!B9</f>
        <v>7674382586.3405485</v>
      </c>
      <c r="J10" s="18">
        <f>J6*Assumptions!B9</f>
        <v>7935203893.07287</v>
      </c>
      <c r="K10" s="18">
        <f>K6*Assumptions!B9</f>
        <v>8133583990.399692</v>
      </c>
    </row>
    <row r="11" spans="1:11" x14ac:dyDescent="0.25">
      <c r="A11" t="s">
        <v>54</v>
      </c>
      <c r="B11" s="18">
        <f>-B6*B19</f>
        <v>-4786139511.854004</v>
      </c>
      <c r="C11" s="18">
        <f>-C6*C19</f>
        <v>-5444542676.771516</v>
      </c>
      <c r="D11" s="18">
        <f>-D6*D19</f>
        <v>-6134925705.687888</v>
      </c>
      <c r="E11" s="18">
        <f>-E6*E19</f>
        <v>-6847580603.431679</v>
      </c>
      <c r="F11" s="18">
        <f>-F6*F19</f>
        <v>-7570922932.602881</v>
      </c>
      <c r="G11" s="18">
        <f>-G6*G19</f>
        <v>-8291716709.378333</v>
      </c>
      <c r="H11" s="18">
        <f>-H6*H19</f>
        <v>-8995406846.727983</v>
      </c>
      <c r="I11" s="18">
        <f>-I6*I19</f>
        <v>-9666552572.969948</v>
      </c>
      <c r="J11" s="18">
        <f>-J6*J19</f>
        <v>-10289347674.035233</v>
      </c>
      <c r="K11" s="18">
        <f>-K6*K19</f>
        <v>-10848206037.821915</v>
      </c>
    </row>
    <row r="12" spans="1:11" x14ac:dyDescent="0.25">
      <c r="A12" t="s">
        <v>55</v>
      </c>
      <c r="B12" s="18">
        <f>-(B6-Assumptions!B29)*Assumptions!B11</f>
        <v>-3110612321.175115</v>
      </c>
      <c r="C12" s="18">
        <f>-(C6-B6)*Assumptions!B11</f>
        <v>-2924844254.8387146</v>
      </c>
      <c r="D12" s="18">
        <f>-(D6-C6)*Assumptions!B11</f>
        <v>-2910675108.422276</v>
      </c>
      <c r="E12" s="18">
        <f>-(E6-D6)*Assumptions!B11</f>
        <v>-2842822689.642505</v>
      </c>
      <c r="F12" s="18">
        <f>-(F6-E6)*Assumptions!B11</f>
        <v>-2717914906.7611666</v>
      </c>
      <c r="G12" s="18">
        <f>-(G6-F6)*Assumptions!B11</f>
        <v>-2534303744.009032</v>
      </c>
      <c r="H12" s="18">
        <f>-(H6-G6)*Assumptions!B11</f>
        <v>-2292306348.460842</v>
      </c>
      <c r="I12" s="18">
        <f>-(I6-H6)*Assumptions!B11</f>
        <v>-1994363521.9494886</v>
      </c>
      <c r="J12" s="18">
        <f>-(J6-I6)*Assumptions!B11</f>
        <v>-1645097646.160303</v>
      </c>
      <c r="K12" s="18">
        <f>-(K6-J6)*Assumptions!B11</f>
        <v>-1251257557.3142798</v>
      </c>
    </row>
    <row r="13" spans="1:11" x14ac:dyDescent="0.25">
      <c r="A13" s="19" t="s">
        <v>56</v>
      </c>
      <c r="B13" s="20">
        <f>B9+B10+B11+B12</f>
        <v>2954697237.7053857</v>
      </c>
      <c r="C13" s="20">
        <f>C9+C10+C11+C12</f>
        <v>3533434397.334445</v>
      </c>
      <c r="D13" s="20">
        <f>D9+D10+D11+D12</f>
        <v>3903499494.1666303</v>
      </c>
      <c r="E13" s="20">
        <f>E9+E10+E11+E12</f>
        <v>4280585584.467768</v>
      </c>
      <c r="F13" s="20">
        <f>F9+F10+F11+F12</f>
        <v>4659139925.164692</v>
      </c>
      <c r="G13" s="20">
        <f>G9+G10+G11+G12</f>
        <v>5032944843.527506</v>
      </c>
      <c r="H13" s="20">
        <f>H9+H10+H11+H12</f>
        <v>5395250609.716234</v>
      </c>
      <c r="I13" s="20">
        <f>I9+I10+I11+I12</f>
        <v>5738946900.87251</v>
      </c>
      <c r="J13" s="20">
        <f>J9+J10+J11+J12</f>
        <v>6056768830.229143</v>
      </c>
      <c r="K13" s="20">
        <f>K9+K10+K11+K12</f>
        <v>6341530909.049101</v>
      </c>
    </row>
    <row r="14" spans="1:11" x14ac:dyDescent="0.25">
      <c r="A14" t="s">
        <v>57</v>
      </c>
      <c r="B14" s="21">
        <f>1/(1+Assumptions!$B$26)^(1-0.5*Assumptions!$B$32)</f>
        <v>0.9556697318898546</v>
      </c>
      <c r="C14" s="21">
        <f>1/(1+Assumptions!$B$26)^(2-0.5*Assumptions!$B$32)</f>
        <v>0.8728175970503406</v>
      </c>
      <c r="D14" s="21">
        <f>1/(1+Assumptions!$B$26)^(3-0.5*Assumptions!$B$32)</f>
        <v>0.7971483581615965</v>
      </c>
      <c r="E14" s="21">
        <f>1/(1+Assumptions!$B$26)^(4-0.5*Assumptions!$B$32)</f>
        <v>0.7280392914478314</v>
      </c>
      <c r="F14" s="21">
        <f>1/(1+Assumptions!$B$26)^(5-0.5*Assumptions!$B$32)</f>
        <v>0.664921660397388</v>
      </c>
      <c r="G14" s="21">
        <f>1/(1+Assumptions!$B$26)^(6-0.5*Assumptions!$B$32)</f>
        <v>0.6072760353172506</v>
      </c>
      <c r="H14" s="21">
        <f>1/(1+Assumptions!$B$26)^(7-0.5*Assumptions!$B$32)</f>
        <v>0.5546280186604781</v>
      </c>
      <c r="I14" s="21">
        <f>1/(1+Assumptions!$B$26)^(8-0.5*Assumptions!$B$32)</f>
        <v>0.5065443409479286</v>
      </c>
      <c r="J14" s="21">
        <f>1/(1+Assumptions!$B$26)^(9-0.5*Assumptions!$B$32)</f>
        <v>0.4626292951554689</v>
      </c>
      <c r="K14" s="21">
        <f>1/(1+Assumptions!$B$26)^(10-0.5*Assumptions!$B$32)</f>
        <v>0.4225214802232827</v>
      </c>
    </row>
    <row r="15" spans="1:11" x14ac:dyDescent="0.25">
      <c r="A15" s="19" t="s">
        <v>58</v>
      </c>
      <c r="B15" s="20">
        <f>B13*B14</f>
        <v>2823714716.9736</v>
      </c>
      <c r="C15" s="20">
        <f>C13*C14</f>
        <v>3084043720.0164685</v>
      </c>
      <c r="D15" s="20">
        <f>D13*D14</f>
        <v>3111668212.8595514</v>
      </c>
      <c r="E15" s="20">
        <f>E13*E14</f>
        <v>3116434495.897715</v>
      </c>
      <c r="F15" s="20">
        <f>F13*F14</f>
        <v>3097963055.064269</v>
      </c>
      <c r="G15" s="20">
        <f>G13*G14</f>
        <v>3056386790.547784</v>
      </c>
      <c r="H15" s="20">
        <f>H13*H14</f>
        <v>2992357155.8436513</v>
      </c>
      <c r="I15" s="20">
        <f>I13*I14</f>
        <v>2907031075.637623</v>
      </c>
      <c r="J15" s="20">
        <f>J13*J14</f>
        <v>2802038694.8485227</v>
      </c>
      <c r="K15" s="20">
        <f>K13*K14</f>
        <v>2679433026.5731254</v>
      </c>
    </row>
    <row r="17" spans="1:2" x14ac:dyDescent="0.25">
      <c r="A17" s="22" t="s">
        <v>59</v>
      </c>
      <c r="B17" s="23">
        <f>SUM(B15:K15)</f>
        <v>29671070944.262306</v>
      </c>
    </row>
    <row r="19" spans="1:11" x14ac:dyDescent="0.25">
      <c r="A19" t="s">
        <v>7</v>
      </c>
      <c r="B19" s="9">
        <f>Assumptions!$B$10+($B$20-Assumptions!$B$10)*0/9</f>
        <v>0.10338275265940808</v>
      </c>
      <c r="C19" s="9">
        <f>Assumptions!$B$10+($B$20-Assumptions!$B$10)*1/9</f>
        <v>0.10721658395585995</v>
      </c>
      <c r="D19" s="9">
        <f>Assumptions!$B$10+($B$20-Assumptions!$B$10)*2/9</f>
        <v>0.11105041525231181</v>
      </c>
      <c r="E19" s="9">
        <f>Assumptions!$B$10+($B$20-Assumptions!$B$10)*3/9</f>
        <v>0.11488424654876368</v>
      </c>
      <c r="F19" s="9">
        <f>Assumptions!$B$10+($B$20-Assumptions!$B$10)*4/9</f>
        <v>0.11871807784521554</v>
      </c>
      <c r="G19" s="9">
        <f>Assumptions!$B$10+($B$20-Assumptions!$B$10)*5/9</f>
        <v>0.12255190914166741</v>
      </c>
      <c r="H19" s="9">
        <f>Assumptions!$B$10+($B$20-Assumptions!$B$10)*6/9</f>
        <v>0.1263857404381193</v>
      </c>
      <c r="I19" s="9">
        <f>Assumptions!$B$10+($B$20-Assumptions!$B$10)*7/9</f>
        <v>0.13021957173457116</v>
      </c>
      <c r="J19" s="9">
        <f>Assumptions!$B$10+($B$20-Assumptions!$B$10)*8/9</f>
        <v>0.134053403031023</v>
      </c>
      <c r="K19" s="9">
        <f>Assumptions!$B$10+($B$20-Assumptions!$B$10)*9/9</f>
        <v>0.13788723432747488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0.13788723432747488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6341530909.049101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10307410513.785603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0.263366055304731</v>
      </c>
    </row>
    <row r="7" spans="1:2" x14ac:dyDescent="0.25">
      <c r="A7" t="s">
        <v>66</v>
      </c>
      <c r="B7" s="18">
        <f>-MAX(B5,0)*B6</f>
        <v>-2714622047.422225</v>
      </c>
    </row>
    <row r="8" spans="1:2" x14ac:dyDescent="0.25">
      <c r="A8" t="s">
        <v>67</v>
      </c>
      <c r="B8" s="18">
        <f>IF(OR(Assumptions!$B$33=0,Assumptions!B12&lt;=0),B5,MAX(B5+B7,0))</f>
        <v>7592788466.363378</v>
      </c>
    </row>
    <row r="9" spans="1:2" x14ac:dyDescent="0.25">
      <c r="A9" t="s">
        <v>68</v>
      </c>
      <c r="B9" s="18">
        <f>B8*(1+Assumptions!B12)/(Assumptions!B26-Assumptions!B12)</f>
        <v>111299503944.31119</v>
      </c>
    </row>
    <row r="10" spans="1:2" x14ac:dyDescent="0.25">
      <c r="A10" t="s">
        <v>69</v>
      </c>
      <c r="B10" s="18">
        <f>B9/(1+Assumptions!B26)^(10-0.5*Assumptions!B32)</f>
        <v>47026431154.66745</v>
      </c>
    </row>
    <row r="11" spans="1:2" x14ac:dyDescent="0.25">
      <c r="A11" t="s">
        <v>70</v>
      </c>
      <c r="B11" s="18">
        <f>Forecast!B17+B10</f>
        <v>76697502098.92975</v>
      </c>
    </row>
    <row r="12" spans="1:2" x14ac:dyDescent="0.25">
      <c r="A12" t="s">
        <v>71</v>
      </c>
      <c r="B12" s="18">
        <f>-Assumptions!B30</f>
        <v>-7611000000</v>
      </c>
    </row>
    <row r="13" spans="1:2" x14ac:dyDescent="0.25">
      <c r="A13" t="s">
        <v>72</v>
      </c>
      <c r="B13" s="18">
        <f>B11+B12</f>
        <v>69086502098.92975</v>
      </c>
    </row>
    <row r="14" spans="1:2" x14ac:dyDescent="0.25">
      <c r="A14" s="19" t="s">
        <v>73</v>
      </c>
      <c r="B14" s="24">
        <f>B13/Assumptions!B31</f>
        <v>72.26621558465455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20886709982.10788</v>
      </c>
    </row>
    <row r="18" spans="1:2" x14ac:dyDescent="0.25">
      <c r="A18" t="s">
        <v>68</v>
      </c>
      <c r="B18" s="18">
        <f>B17*Assumptions!B13</f>
        <v>326613524354.86255</v>
      </c>
    </row>
    <row r="19" spans="1:2" x14ac:dyDescent="0.25">
      <c r="A19" t="s">
        <v>69</v>
      </c>
      <c r="B19" s="18">
        <f>B18/(1+Assumptions!B26)^(10-0.5*Assumptions!B32)</f>
        <v>138001229771.3597</v>
      </c>
    </row>
    <row r="20" spans="1:2" x14ac:dyDescent="0.25">
      <c r="A20" t="s">
        <v>70</v>
      </c>
      <c r="B20" s="18">
        <f>Forecast!B17+B19</f>
        <v>167672300715.622</v>
      </c>
    </row>
    <row r="21" spans="1:2" x14ac:dyDescent="0.25">
      <c r="A21" t="s">
        <v>71</v>
      </c>
      <c r="B21" s="18">
        <f>-Assumptions!B30</f>
        <v>-7611000000</v>
      </c>
    </row>
    <row r="22" spans="1:2" x14ac:dyDescent="0.25">
      <c r="A22" t="s">
        <v>72</v>
      </c>
      <c r="B22" s="18">
        <f>B20+B21</f>
        <v>160061300715.622</v>
      </c>
    </row>
    <row r="23" spans="1:2" x14ac:dyDescent="0.25">
      <c r="A23" s="19" t="s">
        <v>73</v>
      </c>
      <c r="B23" s="25">
        <f>B22/Assumptions!B31</f>
        <v>167.4281388238724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229.17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72.26621558465455</v>
      </c>
    </row>
    <row r="29" spans="1:2" x14ac:dyDescent="0.25">
      <c r="A29" s="19" t="s">
        <v>81</v>
      </c>
      <c r="B29" s="11">
        <f>B28/B26-1</f>
        <v>-0.6846611005600447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0.074925</v>
      </c>
      <c r="B5" s="31">
        <v>102.8966270302278</v>
      </c>
      <c r="C5" s="31">
        <v>101.89708870079188</v>
      </c>
      <c r="D5" s="31">
        <v>101.00190435436467</v>
      </c>
      <c r="E5" s="31">
        <v>100.2459167231695</v>
      </c>
      <c r="F5" s="31">
        <v>99.68142263196471</v>
      </c>
    </row>
    <row r="6" spans="1:6" x14ac:dyDescent="0.25">
      <c r="A6" s="30">
        <v>0.084925</v>
      </c>
      <c r="B6" s="31">
        <v>86.34086181551709</v>
      </c>
      <c r="C6" s="31">
        <v>84.99359531258679</v>
      </c>
      <c r="D6" s="31">
        <v>83.64632880965648</v>
      </c>
      <c r="E6" s="31">
        <v>82.29906230672621</v>
      </c>
      <c r="F6" s="31">
        <v>80.95179580379592</v>
      </c>
    </row>
    <row r="7" spans="1:6" x14ac:dyDescent="0.25">
      <c r="A7" s="30">
        <v>0.094925</v>
      </c>
      <c r="B7" s="31">
        <v>74.54681288398642</v>
      </c>
      <c r="C7" s="31">
        <v>73.40647043898612</v>
      </c>
      <c r="D7" s="32">
        <v>72.2661279939858</v>
      </c>
      <c r="E7" s="31">
        <v>71.1257855489855</v>
      </c>
      <c r="F7" s="31">
        <v>69.98544310398519</v>
      </c>
    </row>
    <row r="8" spans="1:6" x14ac:dyDescent="0.25">
      <c r="A8" s="30">
        <v>0.104925</v>
      </c>
      <c r="B8" s="31">
        <v>65.12057185347842</v>
      </c>
      <c r="C8" s="31">
        <v>64.14372632722761</v>
      </c>
      <c r="D8" s="31">
        <v>63.166880800976756</v>
      </c>
      <c r="E8" s="31">
        <v>62.190035274725936</v>
      </c>
      <c r="F8" s="31">
        <v>61.213189748475095</v>
      </c>
    </row>
    <row r="9" spans="1:6" x14ac:dyDescent="0.25">
      <c r="A9" s="30">
        <v>0.114925</v>
      </c>
      <c r="B9" s="31">
        <v>57.43508479461094</v>
      </c>
      <c r="C9" s="31">
        <v>56.589932661918894</v>
      </c>
      <c r="D9" s="31">
        <v>55.74478052922684</v>
      </c>
      <c r="E9" s="31">
        <v>54.89962839653479</v>
      </c>
      <c r="F9" s="31">
        <v>54.05447626384274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41525000000</v>
      </c>
      <c r="C5" s="18">
        <v>37895000000</v>
      </c>
      <c r="D5" s="18">
        <v>34857000000</v>
      </c>
      <c r="E5" s="18">
        <v>31352000000</v>
      </c>
      <c r="F5" s="6" t="s">
        <v>91</v>
      </c>
    </row>
    <row r="6" spans="1:6" x14ac:dyDescent="0.25">
      <c r="A6" t="s">
        <v>51</v>
      </c>
      <c r="B6" s="18">
        <v>8917000000</v>
      </c>
      <c r="C6" s="18">
        <v>7666000000</v>
      </c>
      <c r="D6" s="18">
        <v>5999000000</v>
      </c>
      <c r="E6" s="18">
        <v>1858000000</v>
      </c>
      <c r="F6" s="6" t="s">
        <v>92</v>
      </c>
    </row>
    <row r="7" spans="1:6" x14ac:dyDescent="0.25">
      <c r="A7" t="s">
        <v>93</v>
      </c>
      <c r="B7" s="18">
        <v>3631000000</v>
      </c>
      <c r="C7" s="18">
        <v>3477000000</v>
      </c>
      <c r="D7" s="18">
        <v>3959000000</v>
      </c>
      <c r="E7" s="18">
        <v>3786000000</v>
      </c>
      <c r="F7" s="6" t="s">
        <v>94</v>
      </c>
    </row>
    <row r="8" spans="1:6" x14ac:dyDescent="0.25">
      <c r="A8" t="s">
        <v>95</v>
      </c>
      <c r="B8" s="18">
        <v>594000000</v>
      </c>
      <c r="C8" s="18">
        <v>658000000</v>
      </c>
      <c r="D8" s="18">
        <v>736000000</v>
      </c>
      <c r="E8" s="18">
        <v>798000000</v>
      </c>
      <c r="F8" s="6" t="s">
        <v>96</v>
      </c>
    </row>
    <row r="9" spans="1:6" x14ac:dyDescent="0.25">
      <c r="A9" t="s">
        <v>97</v>
      </c>
      <c r="B9" s="18">
        <v>781000000</v>
      </c>
      <c r="C9" s="18">
        <v>1981000000</v>
      </c>
      <c r="D9" s="18">
        <v>2850000000</v>
      </c>
      <c r="E9" s="18">
        <v>2069000000</v>
      </c>
      <c r="F9" s="6" t="s">
        <v>98</v>
      </c>
    </row>
    <row r="10" spans="1:6" x14ac:dyDescent="0.25">
      <c r="A10" t="s">
        <v>99</v>
      </c>
      <c r="B10" s="18">
        <v>17176000000</v>
      </c>
      <c r="C10" s="18">
        <v>11392000000</v>
      </c>
      <c r="D10" s="18">
        <v>12588000000</v>
      </c>
      <c r="E10" s="18">
        <v>14088000000</v>
      </c>
      <c r="F10" s="6" t="s">
        <v>100</v>
      </c>
    </row>
    <row r="11" spans="1:6" x14ac:dyDescent="0.25">
      <c r="A11" t="s">
        <v>101</v>
      </c>
      <c r="B11" s="18">
        <v>9565000000</v>
      </c>
      <c r="C11" s="18">
        <v>14032000000</v>
      </c>
      <c r="D11" s="18">
        <v>14194000000</v>
      </c>
      <c r="E11" s="18">
        <v>12508000000</v>
      </c>
      <c r="F11" s="6" t="s">
        <v>102</v>
      </c>
    </row>
    <row r="12" spans="1:6" x14ac:dyDescent="0.25">
      <c r="A12" t="s">
        <v>34</v>
      </c>
      <c r="B12" s="34">
        <v>956000000</v>
      </c>
      <c r="C12" s="34">
        <v>974000000</v>
      </c>
      <c r="D12" s="34">
        <v>984000000</v>
      </c>
      <c r="E12" s="34">
        <v>997000000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