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<sst xmlns="http://schemas.openxmlformats.org/spreadsheetml/2006/main" count="122" uniqueCount="109">
  <si>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CrowdStrike Holdings, Inc. (CRWD)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</si>
  <si>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</si>
  <si>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</si>
  <si>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</si>
  <si>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</si>
  <si>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</si>
  <si>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</si>
  <si>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</si>
  <si>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</si>
  <si>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</si>
  <si>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</si>
  <si>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</si>
  <si>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</si>
  <si>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</si>
  <si>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</si>
  <si>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</si>
  <si>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</si>
  <si>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</si>
  <si>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</si>
  <si>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</si>
  <si>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</si>
  <si>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</si>
  <si>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</si>
  <si>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</si>
  <si>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+ 200bp, the spread for a D rating at -10.5x interest cover, capped at 200bp because one year's cover is too noisy to charge more. Book interest / average debt was lower, at 3.5%.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</si>
  <si>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</si>
  <si>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</si>
  <si>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</si>
  <si>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</si>
  <si>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</si>
  <si>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</si>
  <si>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</si>
  <si>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</si>
  <si>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</si>
  <si>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</si>
  <si>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</si>
  <si>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</si>
  <si>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</si>
  <si>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</si>
  <si>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</si>
  <si>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</si>
  <si>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</si>
  <si>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</si>
  <si>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</si>
  <si>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</si>
  <si>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</si>
  <si>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</si>
  <si>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</si>
  <si>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</si>
  <si>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FY36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</si>
  <si>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</si>
  <si>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</si>
  <si>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</si>
  <si>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</si>
  <si>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</si>
  <si>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</si>
  <si>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</si>
  <si>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</si>
  <si>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</si>
  <si>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</si>
  <si>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</si>
  <si>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</si>
  <si>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</si>
  <si>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</si>
  <si>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</si>
  <si>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</si>
  <si>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</si>
  <si>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</si>
  <si>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</si>
  <si>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</si>
  <si>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</si>
  <si>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</si>
  <si>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</si>
  <si>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</si>
  <si>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</si>
  <si>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</si>
  <si>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</si>
  <si>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</si>
  <si>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</si>
  <si>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</si>
  <si>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</si>
  <si>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</si>
  <si>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</si>
  <si>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</si>
  <si>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</si>
  <si>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</si>
  <si>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</si>
  <si>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</si>
  <si>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</si>
  <si>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</si>
  <si>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</si>
  <si>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</si>
  <si>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</si>
  <si>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</si>
  <si>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</si>
  <si>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</si>
  <si>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</si>
  <si>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</si>
  <si>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</si>
  <si>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</si>
  <si>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</si>
  <si>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</si>
  <si>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</si>
  <si>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</si>
  <si>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</si>
  <si>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Free cashflow is negative in at least one forecast year, so terminal value carries most of the valuation.</t>
  </si>
  <si>
    <t>Adjusted: Capital expenditure runs at 8.8% of revenue against depreciation of 5.0%.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</si>
  <si>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No usable EV/EBITDA (EBITDA is not positive), so the exit multiple falls back to 8x.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</si>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</sst>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0.24852065407247093</v>
      </c>
    </row>
    <row r="7" spans="1:2" x14ac:dyDescent="0.25">
      <c r="A7" t="s">
        <v>4</v>
      </c>
      <c r="B7" s="5">
        <v>-0.045370089063629195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0.05049995411824792</v>
      </c>
    </row>
    <row r="10" spans="1:3" x14ac:dyDescent="0.25">
      <c r="A10" t="s">
        <v>7</v>
      </c>
      <c r="B10" s="5">
        <v>0.08823121643336697</v>
      </c>
      <c r="C10" s="6" t="s">
        <v>8</v>
      </c>
    </row>
    <row r="11" spans="1:2" x14ac:dyDescent="0.25">
      <c r="A11" t="s">
        <v>9</v>
      </c>
      <c r="B11" s="5">
        <v>0.26013485046624446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5">
        <v>0.0966881343000781</v>
      </c>
      <c r="C14" s="6" t="s">
        <v>13</v>
      </c>
    </row>
    <row r="15" spans="1:3" x14ac:dyDescent="0.25">
      <c r="A15" t="s">
        <v>14</v>
      </c>
      <c r="B15" s="5">
        <v>0.043878462862780444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1.13199</v>
      </c>
      <c r="C19" s="6" t="s">
        <v>21</v>
      </c>
    </row>
    <row r="20" spans="1:2" x14ac:dyDescent="0.25">
      <c r="A20" t="s">
        <v>22</v>
      </c>
      <c r="B20" s="9">
        <f>B17+B19*B18</f>
        <v>0.09682317700000001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256424001536</v>
      </c>
    </row>
    <row r="23" spans="1:2" x14ac:dyDescent="0.25">
      <c r="A23" t="s">
        <v>26</v>
      </c>
      <c r="B23" s="10">
        <v>820077000</v>
      </c>
    </row>
    <row r="24" spans="1:2" x14ac:dyDescent="0.25">
      <c r="A24" t="s">
        <v>27</v>
      </c>
      <c r="B24" s="9">
        <f>B22/(B22+B23)</f>
        <v>0.9968120665608043</v>
      </c>
    </row>
    <row r="25" spans="1:2" x14ac:dyDescent="0.25">
      <c r="A25" t="s">
        <v>28</v>
      </c>
      <c r="B25" s="9">
        <f>1-B24</f>
        <v>0.003187933439195656</v>
      </c>
    </row>
    <row r="26" spans="1:2" x14ac:dyDescent="0.25">
      <c r="A26" t="s">
        <v>29</v>
      </c>
      <c r="B26" s="11">
        <f>B24*B20+B25*B21*(1-B8)</f>
        <v>0.0966881343000781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4812005000</v>
      </c>
      <c r="C29" s="6" t="s">
        <v>32</v>
      </c>
    </row>
    <row r="30" spans="1:2" x14ac:dyDescent="0.25">
      <c r="A30" t="s">
        <v>33</v>
      </c>
      <c r="B30" s="10">
        <v>-4410048000</v>
      </c>
    </row>
    <row r="31" spans="1:2" x14ac:dyDescent="0.25">
      <c r="A31" t="s">
        <v>34</v>
      </c>
      <c r="B31" s="12">
        <v>1002304000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0.24852065407247093</v>
      </c>
      <c r="C5" s="5">
        <v>0.2282126471796211</v>
      </c>
      <c r="D5" s="5">
        <v>0.20281106628216844</v>
      </c>
      <c r="E5" s="5">
        <v>0.17740948538471582</v>
      </c>
      <c r="F5" s="5">
        <v>0.15200790448726317</v>
      </c>
      <c r="G5" s="5">
        <v>0.12660632358981055</v>
      </c>
      <c r="H5" s="5">
        <v>0.10120474269235791</v>
      </c>
      <c r="I5" s="5">
        <v>0.07580316179490526</v>
      </c>
      <c r="J5" s="5">
        <v>0.05040158089745264</v>
      </c>
      <c r="K5" s="5">
        <v>0.024999999999999994</v>
      </c>
    </row>
    <row r="6" spans="1:11" x14ac:dyDescent="0.25">
      <c r="A6" t="s">
        <v>50</v>
      </c>
      <c r="B6" s="18">
        <f>Assumptions!B29*(1+B5)</f>
        <v>6007887630</v>
      </c>
      <c r="C6" s="18">
        <f>B6*(1+C5)</f>
        <v>7378963570</v>
      </c>
      <c r="D6" s="18">
        <f>C6*(1+D5)</f>
        <v>8875499039.688976</v>
      </c>
      <c r="E6" s="18">
        <f>D6*(1+E5)</f>
        <v>10450096756.852737</v>
      </c>
      <c r="F6" s="18">
        <f>E6*(1+F5)</f>
        <v>12038594066.551065</v>
      </c>
      <c r="G6" s="18">
        <f>F6*(1+G5)</f>
        <v>13562756202.507202</v>
      </c>
      <c r="H6" s="18">
        <f>G6*(1+H5)</f>
        <v>14935371454.181126</v>
      </c>
      <c r="I6" s="18">
        <f>H6*(1+I5)</f>
        <v>16067519832.989428</v>
      </c>
      <c r="J6" s="18">
        <f>I6*(1+J5)</f>
        <v>16877348233.673271</v>
      </c>
      <c r="K6" s="18">
        <f>J6*(1+K5)</f>
        <v>17299281939.515102</v>
      </c>
    </row>
    <row r="7" spans="1:11" x14ac:dyDescent="0.25">
      <c r="A7" t="s">
        <v>4</v>
      </c>
      <c r="B7" s="9">
        <f>Assumptions!B7</f>
        <v>-0.045370089063629195</v>
      </c>
      <c r="C7" s="9">
        <f>Assumptions!B7</f>
        <v>-0.045370089063629195</v>
      </c>
      <c r="D7" s="9">
        <f>Assumptions!B7</f>
        <v>-0.045370089063629195</v>
      </c>
      <c r="E7" s="9">
        <f>Assumptions!B7</f>
        <v>-0.045370089063629195</v>
      </c>
      <c r="F7" s="9">
        <f>Assumptions!B7</f>
        <v>-0.045370089063629195</v>
      </c>
      <c r="G7" s="9">
        <f>Assumptions!B7</f>
        <v>-0.045370089063629195</v>
      </c>
      <c r="H7" s="9">
        <f>Assumptions!B7</f>
        <v>-0.045370089063629195</v>
      </c>
      <c r="I7" s="9">
        <f>Assumptions!B7</f>
        <v>-0.045370089063629195</v>
      </c>
      <c r="J7" s="9">
        <f>Assumptions!B7</f>
        <v>-0.045370089063629195</v>
      </c>
      <c r="K7" s="9">
        <f>Assumptions!B7</f>
        <v>-0.045370089063629195</v>
      </c>
    </row>
    <row r="8" spans="1:11" x14ac:dyDescent="0.25">
      <c r="A8" t="s">
        <v>51</v>
      </c>
      <c r="B8" s="18">
        <f>B6*B7</f>
        <v>-272578396.8573761</v>
      </c>
      <c r="C8" s="18">
        <f>C6*C7</f>
        <v>-334784234.36817527</v>
      </c>
      <c r="D8" s="18">
        <f>D6*D7</f>
        <v>-402682181.9148442</v>
      </c>
      <c r="E8" s="18">
        <f>E6*E7</f>
        <v>-474121820.5819513</v>
      </c>
      <c r="F8" s="18">
        <f>F6*F7</f>
        <v>-546192085.0002998</v>
      </c>
      <c r="G8" s="18">
        <f>G6*G7</f>
        <v>-615343456.8560411</v>
      </c>
      <c r="H8" s="18">
        <f>H6*H7</f>
        <v>-677619133.0745827</v>
      </c>
      <c r="I8" s="18">
        <f>I6*I7</f>
        <v>-728984805.8543588</v>
      </c>
      <c r="J8" s="18">
        <f>J6*J7</f>
        <v>-765726792.5196412</v>
      </c>
      <c r="K8" s="18">
        <f>K6*K7</f>
        <v>-784869962.3326322</v>
      </c>
    </row>
    <row r="9" spans="1:11" x14ac:dyDescent="0.25">
      <c r="A9" t="s">
        <v>52</v>
      </c>
      <c r="B9" s="18">
        <f>B8*(1-Assumptions!B8)</f>
        <v>-215336933.51732713</v>
      </c>
      <c r="C9" s="18">
        <f>C8*(1-Assumptions!B8)</f>
        <v>-264479545.15085846</v>
      </c>
      <c r="D9" s="18">
        <f>D8*(1-Assumptions!B8)</f>
        <v>-318118923.71272695</v>
      </c>
      <c r="E9" s="18">
        <f>E8*(1-Assumptions!B8)</f>
        <v>-374556238.25974154</v>
      </c>
      <c r="F9" s="18">
        <f>F8*(1-Assumptions!B8)</f>
        <v>-431491747.15023685</v>
      </c>
      <c r="G9" s="18">
        <f>G8*(1-Assumptions!B8)</f>
        <v>-486121330.91627246</v>
      </c>
      <c r="H9" s="18">
        <f>H8*(1-Assumptions!B8)</f>
        <v>-535319115.1289204</v>
      </c>
      <c r="I9" s="18">
        <f>I8*(1-Assumptions!B8)</f>
        <v>-575897996.6249435</v>
      </c>
      <c r="J9" s="18">
        <f>J8*(1-Assumptions!B8)</f>
        <v>-604924166.0905166</v>
      </c>
      <c r="K9" s="18">
        <f>K8*(1-Assumptions!B8)</f>
        <v>-620047270.2427795</v>
      </c>
    </row>
    <row r="10" spans="1:11" x14ac:dyDescent="0.25">
      <c r="A10" t="s">
        <v>53</v>
      </c>
      <c r="B10" s="18">
        <f>B6*Assumptions!B9</f>
        <v>303398049.66258925</v>
      </c>
      <c r="C10" s="18">
        <f>C6*Assumptions!B9</f>
        <v>372637321.7252229</v>
      </c>
      <c r="D10" s="18">
        <f>D6*Assumptions!B9</f>
        <v>448212294.2808468</v>
      </c>
      <c r="E10" s="18">
        <f>E6*Assumptions!B9</f>
        <v>527729406.7523146</v>
      </c>
      <c r="F10" s="18">
        <f>F6*Assumptions!B9</f>
        <v>607948448.0090405</v>
      </c>
      <c r="G10" s="18">
        <f>G6*Assumptions!B9</f>
        <v>684918565.9435961</v>
      </c>
      <c r="H10" s="18">
        <f>H6*Assumptions!B9</f>
        <v>754235573.1751366</v>
      </c>
      <c r="I10" s="18">
        <f>I6*Assumptions!B9</f>
        <v>811409014.3600045</v>
      </c>
      <c r="J10" s="18">
        <f>J6*Assumptions!B9</f>
        <v>852305311.4381927</v>
      </c>
      <c r="K10" s="18">
        <f>K6*Assumptions!B9</f>
        <v>873612944.2241476</v>
      </c>
    </row>
    <row r="11" spans="1:11" x14ac:dyDescent="0.25">
      <c r="A11" t="s">
        <v>54</v>
      </c>
      <c r="B11" s="18">
        <f>-B6*B19</f>
        <v>-530083233.78987813</v>
      </c>
      <c r="C11" s="18">
        <f>-C6*C19</f>
        <v>-614690781.4845395</v>
      </c>
      <c r="D11" s="18">
        <f>-D6*D19</f>
        <v>-695617671.8975382</v>
      </c>
      <c r="E11" s="18">
        <f>-E6*E19</f>
        <v>-767527893.2883418</v>
      </c>
      <c r="F11" s="18">
        <f>-F6*F19</f>
        <v>-824871000.4303969</v>
      </c>
      <c r="G11" s="18">
        <f>-G6*G19</f>
        <v>-862466487.0543222</v>
      </c>
      <c r="H11" s="18">
        <f>-H6*H19</f>
        <v>-876149424.891607</v>
      </c>
      <c r="I11" s="18">
        <f>-I6*I19</f>
        <v>-863382238.4317241</v>
      </c>
      <c r="J11" s="18">
        <f>-J6*J19</f>
        <v>-823725082.9304552</v>
      </c>
      <c r="K11" s="18">
        <f>-K6*K19</f>
        <v>-759065900.1357819</v>
      </c>
    </row>
    <row r="12" spans="1:11" x14ac:dyDescent="0.25">
      <c r="A12" t="s">
        <v>55</v>
      </c>
      <c r="B12" s="18">
        <f>-(B6-Assumptions!B29)*Assumptions!B11</f>
        <v>-311090749.1302292</v>
      </c>
      <c r="C12" s="18">
        <f>-(C6-B6)*Assumptions!B11</f>
        <v>-356664634.62976557</v>
      </c>
      <c r="D12" s="18">
        <f>-(D6-C6)*Assumptions!B11</f>
        <v>-389301030.62497276</v>
      </c>
      <c r="E12" s="18">
        <f>-(E6-D6)*Assumptions!B11</f>
        <v>-409607741.6988849</v>
      </c>
      <c r="F12" s="18">
        <f>-(F6-E6)*Assumptions!B11</f>
        <v>-413223510.12440616</v>
      </c>
      <c r="G12" s="18">
        <f>-(G6-F6)*Assumptions!B11</f>
        <v>-396487689.3232614</v>
      </c>
      <c r="H12" s="18">
        <f>-(H6-G6)*Assumptions!B11</f>
        <v>-357065063.2418826</v>
      </c>
      <c r="I12" s="18">
        <f>-(I6-H6)*Assumptions!B11</f>
        <v>-294511249.2268987</v>
      </c>
      <c r="J12" s="18">
        <f>-(J6-I6)*Assumptions!B11</f>
        <v>-210664589.91520956</v>
      </c>
      <c r="K12" s="18">
        <f>-(K6-J6)*Assumptions!B11</f>
        <v>-109759661.47583313</v>
      </c>
    </row>
    <row r="13" spans="1:11" x14ac:dyDescent="0.25">
      <c r="A13" s="19" t="s">
        <v>56</v>
      </c>
      <c r="B13" s="20">
        <f>B9+B10+B11+B12</f>
        <v>-753112866.7748451</v>
      </c>
      <c r="C13" s="20">
        <f>C9+C10+C11+C12</f>
        <v>-863197639.5399406</v>
      </c>
      <c r="D13" s="20">
        <f>D9+D10+D11+D12</f>
        <v>-954825331.9543912</v>
      </c>
      <c r="E13" s="20">
        <f>E9+E10+E11+E12</f>
        <v>-1023962466.4946537</v>
      </c>
      <c r="F13" s="20">
        <f>F9+F10+F11+F12</f>
        <v>-1061637809.6959994</v>
      </c>
      <c r="G13" s="20">
        <f>G9+G10+G11+G12</f>
        <v>-1060156941.3502599</v>
      </c>
      <c r="H13" s="20">
        <f>H9+H10+H11+H12</f>
        <v>-1014298030.0872734</v>
      </c>
      <c r="I13" s="20">
        <f>I9+I10+I11+I12</f>
        <v>-922382469.9235618</v>
      </c>
      <c r="J13" s="20">
        <f>J9+J10+J11+J12</f>
        <v>-787008527.4979886</v>
      </c>
      <c r="K13" s="20">
        <f>K9+K10+K11+K12</f>
        <v>-615259887.630247</v>
      </c>
    </row>
    <row r="14" spans="1:11" x14ac:dyDescent="0.25">
      <c r="A14" t="s">
        <v>57</v>
      </c>
      <c r="B14" s="21">
        <f>1/(1+Assumptions!$B$26)^(1-0.5*Assumptions!$B$32)</f>
        <v>0.9549011749024108</v>
      </c>
      <c r="C14" s="21">
        <f>1/(1+Assumptions!$B$26)^(2-0.5*Assumptions!$B$32)</f>
        <v>0.8707135101008842</v>
      </c>
      <c r="D14" s="21">
        <f>1/(1+Assumptions!$B$26)^(3-0.5*Assumptions!$B$32)</f>
        <v>0.7939481452095639</v>
      </c>
      <c r="E14" s="21">
        <f>1/(1+Assumptions!$B$26)^(4-0.5*Assumptions!$B$32)</f>
        <v>0.7239507024631692</v>
      </c>
      <c r="F14" s="21">
        <f>1/(1+Assumptions!$B$26)^(5-0.5*Assumptions!$B$32)</f>
        <v>0.6601244964916163</v>
      </c>
      <c r="G14" s="21">
        <f>1/(1+Assumptions!$B$26)^(6-0.5*Assumptions!$B$32)</f>
        <v>0.6019254479423334</v>
      </c>
      <c r="H14" s="21">
        <f>1/(1+Assumptions!$B$26)^(7-0.5*Assumptions!$B$32)</f>
        <v>0.5488574455366847</v>
      </c>
      <c r="I14" s="21">
        <f>1/(1+Assumptions!$B$26)^(8-0.5*Assumptions!$B$32)</f>
        <v>0.5004681170248763</v>
      </c>
      <c r="J14" s="21">
        <f>1/(1+Assumptions!$B$26)^(9-0.5*Assumptions!$B$32)</f>
        <v>0.4563449729893194</v>
      </c>
      <c r="K14" s="21">
        <f>1/(1+Assumptions!$B$26)^(10-0.5*Assumptions!$B$32)</f>
        <v>0.41611189062473564</v>
      </c>
    </row>
    <row r="15" spans="1:11" x14ac:dyDescent="0.25">
      <c r="A15" s="19" t="s">
        <v>58</v>
      </c>
      <c r="B15" s="20">
        <f>B13*B14</f>
        <v>-719148361.3174224</v>
      </c>
      <c r="C15" s="20">
        <f>C13*C14</f>
        <v>-751597846.6346195</v>
      </c>
      <c r="D15" s="20">
        <f>D13*D14</f>
        <v>-758081801.3042951</v>
      </c>
      <c r="E15" s="20">
        <f>E13*E14</f>
        <v>-741298346.9147239</v>
      </c>
      <c r="F15" s="20">
        <f>F13*F14</f>
        <v>-700813124.582034</v>
      </c>
      <c r="G15" s="20">
        <f>G13*G14</f>
        <v>-638135441.8114293</v>
      </c>
      <c r="H15" s="20">
        <f>H13*H14</f>
        <v>-556705025.8065922</v>
      </c>
      <c r="I15" s="20">
        <f>I13*I14</f>
        <v>-461623017.8993995</v>
      </c>
      <c r="J15" s="20">
        <f>J13*J14</f>
        <v>-359147385.2234337</v>
      </c>
      <c r="K15" s="20">
        <f>K13*K14</f>
        <v>-256016955.06738448</v>
      </c>
    </row>
    <row r="17" spans="1:2" x14ac:dyDescent="0.25">
      <c r="A17" s="22" t="s">
        <v>59</v>
      </c>
      <c r="B17" s="23">
        <f>SUM(B15:K15)</f>
        <v>-5942567306.561335</v>
      </c>
    </row>
    <row r="19" spans="1:11" x14ac:dyDescent="0.25">
      <c r="A19" t="s">
        <v>7</v>
      </c>
      <c r="B19" s="9">
        <f>Assumptions!$B$10+($B$20-Assumptions!$B$10)*0/9</f>
        <v>0.08823121643336697</v>
      </c>
      <c r="C19" s="9">
        <f>Assumptions!$B$10+($B$20-Assumptions!$B$10)*1/9</f>
        <v>0.0833031327033018</v>
      </c>
      <c r="D19" s="9">
        <f>Assumptions!$B$10+($B$20-Assumptions!$B$10)*2/9</f>
        <v>0.07837504897323663</v>
      </c>
      <c r="E19" s="9">
        <f>Assumptions!$B$10+($B$20-Assumptions!$B$10)*3/9</f>
        <v>0.07344696524317146</v>
      </c>
      <c r="F19" s="9">
        <f>Assumptions!$B$10+($B$20-Assumptions!$B$10)*4/9</f>
        <v>0.0685188815131063</v>
      </c>
      <c r="G19" s="9">
        <f>Assumptions!$B$10+($B$20-Assumptions!$B$10)*5/9</f>
        <v>0.06359079778304112</v>
      </c>
      <c r="H19" s="9">
        <f>Assumptions!$B$10+($B$20-Assumptions!$B$10)*6/9</f>
        <v>0.058662714052975955</v>
      </c>
      <c r="I19" s="9">
        <f>Assumptions!$B$10+($B$20-Assumptions!$B$10)*7/9</f>
        <v>0.05373463032291078</v>
      </c>
      <c r="J19" s="9">
        <f>Assumptions!$B$10+($B$20-Assumptions!$B$10)*8/9</f>
        <v>0.04880654659284562</v>
      </c>
      <c r="K19" s="9">
        <f>Assumptions!$B$10+($B$20-Assumptions!$B$10)*9/9</f>
        <v>0.043878462862780444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0.043878462862780444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-615259887.630247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-529555105.41297054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0.2585632681918427</v>
      </c>
    </row>
    <row r="7" spans="1:2" x14ac:dyDescent="0.25">
      <c r="A7" t="s">
        <v>66</v>
      </c>
      <c r="B7" s="18">
        <f>-MAX(B5,0)*B6</f>
        <v>0</v>
      </c>
    </row>
    <row r="8" spans="1:2" x14ac:dyDescent="0.25">
      <c r="A8" t="s">
        <v>67</v>
      </c>
      <c r="B8" s="18">
        <f>IF(OR(Assumptions!$B$33=0,Assumptions!B12&lt;=0),B5,MAX(B5+B7,0))</f>
        <v>0</v>
      </c>
    </row>
    <row r="9" spans="1:2" x14ac:dyDescent="0.25">
      <c r="A9" t="s">
        <v>68</v>
      </c>
      <c r="B9" s="18">
        <f>B8*(1+Assumptions!B12)/(Assumptions!B26-Assumptions!B12)</f>
        <v>0</v>
      </c>
    </row>
    <row r="10" spans="1:2" x14ac:dyDescent="0.25">
      <c r="A10" t="s">
        <v>69</v>
      </c>
      <c r="B10" s="18">
        <f>B9/(1+Assumptions!B26)^(10-0.5*Assumptions!B32)</f>
        <v>0</v>
      </c>
    </row>
    <row r="11" spans="1:2" x14ac:dyDescent="0.25">
      <c r="A11" t="s">
        <v>70</v>
      </c>
      <c r="B11" s="18">
        <f>Forecast!B17+B10</f>
        <v>-5942567306.561335</v>
      </c>
    </row>
    <row r="12" spans="1:2" x14ac:dyDescent="0.25">
      <c r="A12" t="s">
        <v>71</v>
      </c>
      <c r="B12" s="18">
        <f>-Assumptions!B30</f>
        <v>4410048000</v>
      </c>
    </row>
    <row r="13" spans="1:2" x14ac:dyDescent="0.25">
      <c r="A13" t="s">
        <v>72</v>
      </c>
      <c r="B13" s="18">
        <f>B11+B12</f>
        <v>-1532519306.5613346</v>
      </c>
    </row>
    <row r="14" spans="1:2" x14ac:dyDescent="0.25">
      <c r="A14" s="19" t="s">
        <v>73</v>
      </c>
      <c r="B14" s="24">
        <f>B13/Assumptions!B31</f>
        <v>-1.5289964986284945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88742981.89151537</v>
      </c>
    </row>
    <row r="18" spans="1:2" x14ac:dyDescent="0.25">
      <c r="A18" t="s">
        <v>68</v>
      </c>
      <c r="B18" s="18">
        <f>B17*Assumptions!B13</f>
        <v>709943855.132123</v>
      </c>
    </row>
    <row r="19" spans="1:2" x14ac:dyDescent="0.25">
      <c r="A19" t="s">
        <v>69</v>
      </c>
      <c r="B19" s="18">
        <f>B18/(1+Assumptions!B26)^(10-0.5*Assumptions!B32)</f>
        <v>295416079.79644114</v>
      </c>
    </row>
    <row r="20" spans="1:2" x14ac:dyDescent="0.25">
      <c r="A20" t="s">
        <v>70</v>
      </c>
      <c r="B20" s="18">
        <f>Forecast!B17+B19</f>
        <v>-5647151226.764894</v>
      </c>
    </row>
    <row r="21" spans="1:2" x14ac:dyDescent="0.25">
      <c r="A21" t="s">
        <v>71</v>
      </c>
      <c r="B21" s="18">
        <f>-Assumptions!B30</f>
        <v>4410048000</v>
      </c>
    </row>
    <row r="22" spans="1:2" x14ac:dyDescent="0.25">
      <c r="A22" t="s">
        <v>72</v>
      </c>
      <c r="B22" s="18">
        <f>B20+B21</f>
        <v>-1237103226.7648935</v>
      </c>
    </row>
    <row r="23" spans="1:2" x14ac:dyDescent="0.25">
      <c r="A23" s="19" t="s">
        <v>73</v>
      </c>
      <c r="B23" s="25">
        <f>B22/Assumptions!B31</f>
        <v>-1.2342594928932675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250.43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-1.5289964986284945</v>
      </c>
    </row>
    <row r="29" spans="1:2" x14ac:dyDescent="0.25">
      <c r="A29" s="19" t="s">
        <v>81</v>
      </c>
      <c r="B29" s="11">
        <f>B28/B26-1</f>
        <v>-1.0061054845610689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0.076688</v>
      </c>
      <c r="B5" s="31">
        <v>-2.017888448683678</v>
      </c>
      <c r="C5" s="31">
        <v>-2.017888448683678</v>
      </c>
      <c r="D5" s="31">
        <v>-2.017888448683678</v>
      </c>
      <c r="E5" s="31">
        <v>-2.017888448683678</v>
      </c>
      <c r="F5" s="31">
        <v>-2.017888448683678</v>
      </c>
    </row>
    <row r="6" spans="1:6" x14ac:dyDescent="0.25">
      <c r="A6" s="30">
        <v>0.086688</v>
      </c>
      <c r="B6" s="31">
        <v>-1.765672911928498</v>
      </c>
      <c r="C6" s="31">
        <v>-1.765672911928498</v>
      </c>
      <c r="D6" s="31">
        <v>-1.765672911928498</v>
      </c>
      <c r="E6" s="31">
        <v>-1.765672911928498</v>
      </c>
      <c r="F6" s="31">
        <v>-1.765672911928498</v>
      </c>
    </row>
    <row r="7" spans="1:6" x14ac:dyDescent="0.25">
      <c r="A7" s="30">
        <v>0.096688</v>
      </c>
      <c r="B7" s="31">
        <v>-1.52899957822772</v>
      </c>
      <c r="C7" s="31">
        <v>-1.52899957822772</v>
      </c>
      <c r="D7" s="32">
        <v>-1.52899957822772</v>
      </c>
      <c r="E7" s="31">
        <v>-1.52899957822772</v>
      </c>
      <c r="F7" s="31">
        <v>-1.52899957822772</v>
      </c>
    </row>
    <row r="8" spans="1:6" x14ac:dyDescent="0.25">
      <c r="A8" s="30">
        <v>0.106688</v>
      </c>
      <c r="B8" s="31">
        <v>-1.3066802886534727</v>
      </c>
      <c r="C8" s="31">
        <v>-1.3066802886534727</v>
      </c>
      <c r="D8" s="31">
        <v>-1.3066802886534727</v>
      </c>
      <c r="E8" s="31">
        <v>-1.3066802886534727</v>
      </c>
      <c r="F8" s="31">
        <v>-1.3066802886534727</v>
      </c>
    </row>
    <row r="9" spans="1:6" x14ac:dyDescent="0.25">
      <c r="A9" s="30">
        <v>0.116688</v>
      </c>
      <c r="B9" s="31">
        <v>-1.0976321462028038</v>
      </c>
      <c r="C9" s="31">
        <v>-1.0976321462028038</v>
      </c>
      <c r="D9" s="31">
        <v>-1.0976321462028038</v>
      </c>
      <c r="E9" s="31">
        <v>-1.0976321462028038</v>
      </c>
      <c r="F9" s="31">
        <v>-1.0976321462028038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4812005000</v>
      </c>
      <c r="C5" s="18">
        <v>3953624000</v>
      </c>
      <c r="D5" s="18">
        <v>3055555000</v>
      </c>
      <c r="E5" s="18">
        <v>2241236000</v>
      </c>
      <c r="F5" s="6" t="s">
        <v>91</v>
      </c>
    </row>
    <row r="6" spans="1:6" x14ac:dyDescent="0.25">
      <c r="A6" t="s">
        <v>51</v>
      </c>
      <c r="B6" s="18">
        <v>-293292000</v>
      </c>
      <c r="C6" s="18">
        <v>-116400000</v>
      </c>
      <c r="D6" s="18">
        <v>-19141000</v>
      </c>
      <c r="E6" s="18">
        <v>-190112000</v>
      </c>
      <c r="F6" s="6" t="s">
        <v>92</v>
      </c>
    </row>
    <row r="7" spans="1:6" x14ac:dyDescent="0.25">
      <c r="A7" t="s">
        <v>93</v>
      </c>
      <c r="B7" s="18">
        <v>281451000</v>
      </c>
      <c r="C7" s="18">
        <v>213956000</v>
      </c>
      <c r="D7" s="18">
        <v>145254000</v>
      </c>
      <c r="E7" s="18">
        <v>93810000</v>
      </c>
      <c r="F7" s="6" t="s">
        <v>94</v>
      </c>
    </row>
    <row r="8" spans="1:6" x14ac:dyDescent="0.25">
      <c r="A8" t="s">
        <v>95</v>
      </c>
      <c r="B8" s="18">
        <v>370859000</v>
      </c>
      <c r="C8" s="18">
        <v>313821000</v>
      </c>
      <c r="D8" s="18">
        <v>237112000</v>
      </c>
      <c r="E8" s="18">
        <v>266437000</v>
      </c>
      <c r="F8" s="6" t="s">
        <v>96</v>
      </c>
    </row>
    <row r="9" spans="1:6" x14ac:dyDescent="0.25">
      <c r="A9" t="s">
        <v>97</v>
      </c>
      <c r="B9" s="18">
        <v>59291000</v>
      </c>
      <c r="C9" s="18">
        <v>5998000</v>
      </c>
      <c r="D9" s="18">
        <v>-51526000</v>
      </c>
      <c r="E9" s="18">
        <v>-320441000</v>
      </c>
      <c r="F9" s="6" t="s">
        <v>98</v>
      </c>
    </row>
    <row r="10" spans="1:6" x14ac:dyDescent="0.25">
      <c r="A10" t="s">
        <v>99</v>
      </c>
      <c r="B10" s="18">
        <v>820077000</v>
      </c>
      <c r="C10" s="18">
        <v>788901000</v>
      </c>
      <c r="D10" s="18">
        <v>792874000</v>
      </c>
      <c r="E10" s="18">
        <v>783618000</v>
      </c>
      <c r="F10" s="6" t="s">
        <v>100</v>
      </c>
    </row>
    <row r="11" spans="1:6" x14ac:dyDescent="0.25">
      <c r="A11" t="s">
        <v>101</v>
      </c>
      <c r="B11" s="18">
        <v>5230125000</v>
      </c>
      <c r="C11" s="18">
        <v>4323295000</v>
      </c>
      <c r="D11" s="18">
        <v>3474660000</v>
      </c>
      <c r="E11" s="18">
        <v>2705369000</v>
      </c>
      <c r="F11" s="6" t="s">
        <v>102</v>
      </c>
    </row>
    <row r="12" spans="1:6" x14ac:dyDescent="0.25">
      <c r="A12" t="s">
        <v>34</v>
      </c>
      <c r="B12" s="34">
        <v>1002304000</v>
      </c>
      <c r="C12" s="34">
        <v>979000000</v>
      </c>
      <c r="D12" s="34">
        <v>974540000</v>
      </c>
      <c r="E12" s="34">
        <v>932556000</v>
      </c>
      <c r="F12" s="6" t="s">
        <v>103</v>
      </c>
    </row>
    <row r="15" spans="1:1" x14ac:dyDescent="0.25">
      <c r="A15" s="19" t="s">
        <v>104</v>
      </c>
    </row>
    <row r="16" ht="22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22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