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<sst xmlns="http://schemas.openxmlformats.org/spreadsheetml/2006/main" count="117" uniqueCount="105">
  <si>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AXA SA (CS.PA)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</si>
  <si>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</si>
  <si>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</si>
  <si>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</si>
  <si>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</si>
  <si>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</si>
  <si>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</si>
  <si>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</si>
  <si>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</si>
  <si>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</si>
  <si>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</si>
  <si>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</si>
  <si>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</si>
  <si>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</si>
  <si>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</si>
  <si>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</si>
  <si>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</si>
  <si>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</si>
  <si>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</si>
  <si>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</si>
  <si>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</si>
  <si>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</si>
  <si>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</si>
  <si>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</si>
  <si>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</si>
  <si>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</si>
  <si>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</si>
  <si>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</si>
  <si>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</si>
  <si>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</si>
  <si>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</si>
  <si>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</si>
  <si>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</si>
  <si>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</si>
  <si>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</si>
  <si>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</si>
  <si>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</si>
  <si>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</si>
  <si>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</si>
  <si>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</si>
  <si>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</si>
  <si>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</si>
  <si>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</si>
  <si>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</si>
  <si>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</si>
  <si>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</si>
  <si>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</si>
  <si>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</si>
  <si>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</si>
  <si>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</si>
  <si>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</si>
  <si>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</si>
  <si>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</si>
  <si>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</si>
  <si>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</si>
  <si>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</si>
  <si>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</si>
  <si>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</si>
  <si>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</si>
  <si>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</si>
  <si>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</si>
  <si>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</si>
  <si>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</si>
  <si>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</si>
  <si>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</si>
  <si>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</si>
  <si>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</si>
  <si>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</si>
  <si>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</si>
  <si>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</si>
  <si>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</si>
  <si>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</si>
  <si>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</si>
  <si>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</si>
  <si>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</si>
  <si>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</si>
  <si>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</si>
  <si>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</si>
  <si>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</si>
  <si>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</si>
  <si>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</si>
  <si>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</si>
  <si>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</si>
  <si>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</si>
  <si>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</si>
  <si>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</si>
  <si>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</si>
  <si>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</si>
  <si>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</si>
  <si>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</si>
  <si>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</si>
  <si>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</si>
  <si>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</si>
  <si>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</si>
  <si>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</si>
  <si>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</si>
  <si>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</si>
  <si>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</si>
  <si>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</si>
  <si>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</si>
  <si>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Adjusted: Reported capital expenditure averages just 0.45%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</si>
  <si>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-0.3%.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</si>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</sst>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0.09148116355779234</v>
      </c>
    </row>
    <row r="7" spans="1:2" x14ac:dyDescent="0.25">
      <c r="A7" t="s">
        <v>5</v>
      </c>
      <c r="B7" s="6">
        <v>0.08954950163449431</v>
      </c>
    </row>
    <row r="8" spans="1:2" x14ac:dyDescent="0.25">
      <c r="A8" t="s">
        <v>6</v>
      </c>
      <c r="B8" s="6">
        <v>0.22287345702517997</v>
      </c>
    </row>
    <row r="9" spans="1:2" x14ac:dyDescent="0.25">
      <c r="A9" t="s">
        <v>7</v>
      </c>
      <c r="B9" s="6">
        <v>-0.002929611169559453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0.06444152014544458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0.71927</v>
      </c>
      <c r="C19" s="8" t="s">
        <v>19</v>
      </c>
    </row>
    <row r="20" spans="1:2" x14ac:dyDescent="0.25">
      <c r="A20" t="s">
        <v>20</v>
      </c>
      <c r="B20" s="10">
        <f>B17+B19*B18</f>
        <v>0.0751562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93526032384</v>
      </c>
    </row>
    <row r="23" spans="1:2" x14ac:dyDescent="0.25">
      <c r="A23" t="s">
        <v>24</v>
      </c>
      <c r="B23" s="11">
        <v>60492000000</v>
      </c>
    </row>
    <row r="24" spans="1:2" x14ac:dyDescent="0.25">
      <c r="A24" t="s">
        <v>25</v>
      </c>
      <c r="B24" s="10">
        <f>B22/(B22+B23)</f>
        <v>0.6072407947065545</v>
      </c>
    </row>
    <row r="25" spans="1:2" x14ac:dyDescent="0.25">
      <c r="A25" t="s">
        <v>26</v>
      </c>
      <c r="B25" s="10">
        <f>1-B24</f>
        <v>0.39275920529344555</v>
      </c>
    </row>
    <row r="26" spans="1:2" x14ac:dyDescent="0.25">
      <c r="A26" t="s">
        <v>27</v>
      </c>
      <c r="B26" s="12">
        <f>B24*B20+B25*B21*(1-B8)</f>
        <v>0.05540506592492421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105925000000</v>
      </c>
      <c r="C29" s="8" t="s">
        <v>30</v>
      </c>
    </row>
    <row r="30" spans="1:2" x14ac:dyDescent="0.25">
      <c r="A30" t="s">
        <v>31</v>
      </c>
      <c r="B30" s="11">
        <v>-259458000000</v>
      </c>
    </row>
    <row r="31" spans="1:2" x14ac:dyDescent="0.25">
      <c r="A31" t="s">
        <v>32</v>
      </c>
      <c r="B31" s="13">
        <v>2055372364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0.09148116355779234</v>
      </c>
      <c r="C5" s="10">
        <f>Assumptions!B6</f>
        <v>0.09148116355779234</v>
      </c>
      <c r="D5" s="10">
        <f>Assumptions!B6</f>
        <v>0.09148116355779234</v>
      </c>
      <c r="E5" s="10">
        <f>Assumptions!B6</f>
        <v>0.09148116355779234</v>
      </c>
      <c r="F5" s="10">
        <f>Assumptions!B6</f>
        <v>0.09148116355779234</v>
      </c>
    </row>
    <row r="6" spans="1:6" x14ac:dyDescent="0.25">
      <c r="A6" t="s">
        <v>43</v>
      </c>
      <c r="B6" s="18">
        <f>Assumptions!B29*(1+B5)</f>
        <v>115615142249.85916</v>
      </c>
      <c r="C6" s="18">
        <f>B6*(1+C5)</f>
        <v>126191749987.77596</v>
      </c>
      <c r="D6" s="18">
        <f>C6*(1+D5)</f>
        <v>137735918108.05173</v>
      </c>
      <c r="E6" s="18">
        <f>D6*(1+E5)</f>
        <v>150336160160.2771</v>
      </c>
      <c r="F6" s="18">
        <f>E6*(1+F5)</f>
        <v>164089087016.54987</v>
      </c>
    </row>
    <row r="7" spans="1:6" x14ac:dyDescent="0.25">
      <c r="A7" t="s">
        <v>5</v>
      </c>
      <c r="B7" s="10">
        <f>Assumptions!B7</f>
        <v>0.08954950163449431</v>
      </c>
      <c r="C7" s="10">
        <f>Assumptions!B7</f>
        <v>0.08954950163449431</v>
      </c>
      <c r="D7" s="10">
        <f>Assumptions!B7</f>
        <v>0.08954950163449431</v>
      </c>
      <c r="E7" s="10">
        <f>Assumptions!B7</f>
        <v>0.08954950163449431</v>
      </c>
      <c r="F7" s="10">
        <f>Assumptions!B7</f>
        <v>0.08954950163449431</v>
      </c>
    </row>
    <row r="8" spans="1:6" x14ac:dyDescent="0.25">
      <c r="A8" t="s">
        <v>44</v>
      </c>
      <c r="B8" s="18">
        <f>B6*B7</f>
        <v>10353278369.876055</v>
      </c>
      <c r="C8" s="18">
        <f>C6*C7</f>
        <v>11300408321.79004</v>
      </c>
      <c r="D8" s="18">
        <f>D6*D7</f>
        <v>12334182823.745552</v>
      </c>
      <c r="E8" s="18">
        <f>E6*E7</f>
        <v>13462528219.996332</v>
      </c>
      <c r="F8" s="18">
        <f>F6*F7</f>
        <v>14694095965.99121</v>
      </c>
    </row>
    <row r="9" spans="1:6" x14ac:dyDescent="0.25">
      <c r="A9" t="s">
        <v>45</v>
      </c>
      <c r="B9" s="18">
        <f>B8*(1-Assumptions!B8)</f>
        <v>8045807428.037758</v>
      </c>
      <c r="C9" s="18">
        <f>C8*(1-Assumptions!B8)</f>
        <v>8781847253.31658</v>
      </c>
      <c r="D9" s="18">
        <f>D8*(1-Assumptions!B8)</f>
        <v>9585220858.236784</v>
      </c>
      <c r="E9" s="18">
        <f>E8*(1-Assumptions!B8)</f>
        <v>10462088015.306705</v>
      </c>
      <c r="F9" s="18">
        <f>F8*(1-Assumptions!B8)</f>
        <v>11419172000.190998</v>
      </c>
    </row>
    <row r="10" spans="1:6" x14ac:dyDescent="0.25">
      <c r="A10" t="s">
        <v>46</v>
      </c>
      <c r="B10" s="18">
        <f>B6*Assumptions!B9</f>
        <v>-338707412.1053924</v>
      </c>
      <c r="C10" s="18">
        <f>C6*Assumptions!B9</f>
        <v>-369692760.27044237</v>
      </c>
      <c r="D10" s="18">
        <f>D6*Assumptions!B9</f>
        <v>-403512684.1388744</v>
      </c>
      <c r="E10" s="18">
        <f>E6*Assumptions!B9</f>
        <v>-440426493.9942266</v>
      </c>
      <c r="F10" s="18">
        <f>F6*Assumptions!B9</f>
        <v>-480717222.12649745</v>
      </c>
    </row>
    <row r="11" spans="1:6" x14ac:dyDescent="0.25">
      <c r="A11" t="s">
        <v>47</v>
      </c>
      <c r="B11" s="18">
        <f>-B6*Assumptions!B10</f>
        <v>-1156151422.4985917</v>
      </c>
      <c r="C11" s="18">
        <f>-C6*Assumptions!B10</f>
        <v>-1261917499.8777597</v>
      </c>
      <c r="D11" s="18">
        <f>-D6*Assumptions!B10</f>
        <v>-1377359181.0805173</v>
      </c>
      <c r="E11" s="18">
        <f>-E6*Assumptions!B10</f>
        <v>-1503361601.602771</v>
      </c>
      <c r="F11" s="18">
        <f>-F6*Assumptions!B10</f>
        <v>-1640890870.1654987</v>
      </c>
    </row>
    <row r="12" spans="1:6" x14ac:dyDescent="0.25">
      <c r="A12" t="s">
        <v>48</v>
      </c>
      <c r="B12" s="18">
        <f>-(B6-Assumptions!B29)*Assumptions!B11</f>
        <v>9690142249.859161</v>
      </c>
      <c r="C12" s="18">
        <f>-(C6-B6)*Assumptions!B11</f>
        <v>10576607737.916794</v>
      </c>
      <c r="D12" s="18">
        <f>-(D6-C6)*Assumptions!B11</f>
        <v>11544168120.275772</v>
      </c>
      <c r="E12" s="18">
        <f>-(E6-D6)*Assumptions!B11</f>
        <v>12600242052.225372</v>
      </c>
      <c r="F12" s="18">
        <f>-(F6-E6)*Assumptions!B11</f>
        <v>13752926856.272766</v>
      </c>
    </row>
    <row r="13" spans="1:6" x14ac:dyDescent="0.25">
      <c r="A13" s="19" t="s">
        <v>49</v>
      </c>
      <c r="B13" s="20">
        <f>B9+B10+B11+B12</f>
        <v>16241090843.292934</v>
      </c>
      <c r="C13" s="20">
        <f>C9+C10+C11+C12</f>
        <v>17726844731.08517</v>
      </c>
      <c r="D13" s="20">
        <f>D9+D10+D11+D12</f>
        <v>19348517113.293167</v>
      </c>
      <c r="E13" s="20">
        <f>E9+E10+E11+E12</f>
        <v>21118541971.93508</v>
      </c>
      <c r="F13" s="20">
        <f>F9+F10+F11+F12</f>
        <v>23050490764.17177</v>
      </c>
    </row>
    <row r="14" spans="1:6" x14ac:dyDescent="0.25">
      <c r="A14" t="s">
        <v>50</v>
      </c>
      <c r="B14" s="21">
        <f>1/(1+Assumptions!$B$26)^(1-0.5*Assumptions!$B$32)</f>
        <v>0.973397917501989</v>
      </c>
      <c r="C14" s="21">
        <f>1/(1+Assumptions!$B$26)^(2-0.5*Assumptions!$B$32)</f>
        <v>0.9222979393688369</v>
      </c>
      <c r="D14" s="21">
        <f>1/(1+Assumptions!$B$26)^(3-0.5*Assumptions!$B$32)</f>
        <v>0.8738805309415146</v>
      </c>
      <c r="E14" s="21">
        <f>1/(1+Assumptions!$B$26)^(4-0.5*Assumptions!$B$32)</f>
        <v>0.8280048667150114</v>
      </c>
      <c r="F14" s="21">
        <f>1/(1+Assumptions!$B$26)^(5-0.5*Assumptions!$B$32)</f>
        <v>0.7845375140296239</v>
      </c>
    </row>
    <row r="15" spans="1:6" x14ac:dyDescent="0.25">
      <c r="A15" s="19" t="s">
        <v>51</v>
      </c>
      <c r="B15" s="20">
        <f>B13*B14</f>
        <v>15809044004.821964</v>
      </c>
      <c r="C15" s="20">
        <f>C13*C14</f>
        <v>16349432366.991177</v>
      </c>
      <c r="D15" s="20">
        <f>D13*D14</f>
        <v>16908292407.895615</v>
      </c>
      <c r="E15" s="20">
        <f>E13*E14</f>
        <v>17486255530.68748</v>
      </c>
      <c r="F15" s="20">
        <f>F13*F14</f>
        <v>18083974721.286125</v>
      </c>
    </row>
    <row r="17" spans="1:2" x14ac:dyDescent="0.25">
      <c r="A17" s="22" t="s">
        <v>52</v>
      </c>
      <c r="B17" s="23">
        <f>SUM(B15:F15)</f>
        <v>84636999031.68237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23050490764.17177</v>
      </c>
    </row>
    <row r="5" spans="1:2" x14ac:dyDescent="0.25">
      <c r="A5" t="s">
        <v>56</v>
      </c>
      <c r="B5" s="18">
        <f>IF(Assumptions!$B$33=0,B4,B4-Forecast!F11-Forecast!F10-Forecast!F12)</f>
        <v>11835015560.356302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0.38794863844885996</v>
      </c>
    </row>
    <row r="7" spans="1:2" x14ac:dyDescent="0.25">
      <c r="A7" t="s">
        <v>58</v>
      </c>
      <c r="B7" s="18">
        <f>-MAX(Forecast!F9,0)*B6</f>
        <v>-4591378172.661299</v>
      </c>
    </row>
    <row r="8" spans="1:2" x14ac:dyDescent="0.25">
      <c r="A8" t="s">
        <v>59</v>
      </c>
      <c r="B8" s="18">
        <f>IF(OR(Assumptions!$B$33=0,Assumptions!B12&lt;=0),B5,MAX(B5+B7,0))</f>
        <v>7243637387.6950035</v>
      </c>
    </row>
    <row r="9" spans="1:2" x14ac:dyDescent="0.25">
      <c r="A9" t="s">
        <v>60</v>
      </c>
      <c r="B9" s="18">
        <f>B8*(1+Assumptions!B12)/(Assumptions!B26-Assumptions!B12)</f>
        <v>244193791282.0324</v>
      </c>
    </row>
    <row r="10" spans="1:2" x14ac:dyDescent="0.25">
      <c r="A10" t="s">
        <v>61</v>
      </c>
      <c r="B10" s="18">
        <f>B9/(1+Assumptions!B26)^(5-0.5*Assumptions!B32)</f>
        <v>191579189953.87454</v>
      </c>
    </row>
    <row r="11" spans="1:2" x14ac:dyDescent="0.25">
      <c r="A11" t="s">
        <v>62</v>
      </c>
      <c r="B11" s="18">
        <f>Forecast!B17+B10</f>
        <v>276216188985.5569</v>
      </c>
    </row>
    <row r="12" spans="1:2" x14ac:dyDescent="0.25">
      <c r="A12" t="s">
        <v>63</v>
      </c>
      <c r="B12" s="18">
        <f>-Assumptions!B30</f>
        <v>259458000000</v>
      </c>
    </row>
    <row r="13" spans="1:2" x14ac:dyDescent="0.25">
      <c r="A13" t="s">
        <v>64</v>
      </c>
      <c r="B13" s="18">
        <f>B11+B12</f>
        <v>535674188985.5569</v>
      </c>
    </row>
    <row r="14" spans="1:2" x14ac:dyDescent="0.25">
      <c r="A14" s="19" t="s">
        <v>65</v>
      </c>
      <c r="B14" s="24">
        <f>B13/Assumptions!B31</f>
        <v>260.6214807437962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14213378743.864714</v>
      </c>
    </row>
    <row r="18" spans="1:2" x14ac:dyDescent="0.25">
      <c r="A18" t="s">
        <v>60</v>
      </c>
      <c r="B18" s="18">
        <f>B17*Assumptions!B13</f>
        <v>113707029950.91771</v>
      </c>
    </row>
    <row r="19" spans="1:2" x14ac:dyDescent="0.25">
      <c r="A19" t="s">
        <v>61</v>
      </c>
      <c r="B19" s="18">
        <f>B18/(1+Assumptions!B26)^(5-0.5*Assumptions!B32)</f>
        <v>89207430605.38496</v>
      </c>
    </row>
    <row r="20" spans="1:2" x14ac:dyDescent="0.25">
      <c r="A20" t="s">
        <v>62</v>
      </c>
      <c r="B20" s="18">
        <f>Forecast!B17+B19</f>
        <v>173844429637.06732</v>
      </c>
    </row>
    <row r="21" spans="1:2" x14ac:dyDescent="0.25">
      <c r="A21" t="s">
        <v>63</v>
      </c>
      <c r="B21" s="18">
        <f>-Assumptions!B30</f>
        <v>259458000000</v>
      </c>
    </row>
    <row r="22" spans="1:2" x14ac:dyDescent="0.25">
      <c r="A22" t="s">
        <v>64</v>
      </c>
      <c r="B22" s="18">
        <f>B20+B21</f>
        <v>433302429637.0673</v>
      </c>
    </row>
    <row r="23" spans="1:2" x14ac:dyDescent="0.25">
      <c r="A23" s="19" t="s">
        <v>65</v>
      </c>
      <c r="B23" s="25">
        <f>B22/Assumptions!B31</f>
        <v>210.81456441975752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44.73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260.6214807437962</v>
      </c>
    </row>
    <row r="29" spans="1:2" x14ac:dyDescent="0.25">
      <c r="A29" s="19" t="s">
        <v>73</v>
      </c>
      <c r="B29" s="12">
        <f>B28/B26-1</f>
        <v>4.826547747457997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0.035405</v>
      </c>
      <c r="B5" s="31">
        <v>357.4059746161081</v>
      </c>
      <c r="C5" s="31">
        <v>394.32583837293845</v>
      </c>
      <c r="D5" s="31">
        <v>466.36136143201713</v>
      </c>
      <c r="E5" s="31">
        <v>670.9658073518507</v>
      </c>
      <c r="F5" s="31">
        <v>5918.0992820863785</v>
      </c>
    </row>
    <row r="6" spans="1:6" x14ac:dyDescent="0.25">
      <c r="A6" s="30">
        <v>0.045405</v>
      </c>
      <c r="B6" s="31">
        <v>289.2011560767587</v>
      </c>
      <c r="C6" s="31">
        <v>298.9926245452245</v>
      </c>
      <c r="D6" s="31">
        <v>313.40336249969846</v>
      </c>
      <c r="E6" s="31">
        <v>336.931198066771</v>
      </c>
      <c r="F6" s="31">
        <v>382.71947235062083</v>
      </c>
    </row>
    <row r="7" spans="1:6" x14ac:dyDescent="0.25">
      <c r="A7" s="30">
        <v>0.055405</v>
      </c>
      <c r="B7" s="31">
        <v>254.4786007354191</v>
      </c>
      <c r="C7" s="31">
        <v>257.1658832707676</v>
      </c>
      <c r="D7" s="32">
        <v>260.6217156452864</v>
      </c>
      <c r="E7" s="31">
        <v>265.29987654772</v>
      </c>
      <c r="F7" s="31">
        <v>272.09891672145085</v>
      </c>
    </row>
    <row r="8" spans="1:6" x14ac:dyDescent="0.25">
      <c r="A8" s="30">
        <v>0.065405</v>
      </c>
      <c r="B8" s="31">
        <v>233.623048698671</v>
      </c>
      <c r="C8" s="31">
        <v>233.95404343466947</v>
      </c>
      <c r="D8" s="31">
        <v>234.28503817066795</v>
      </c>
      <c r="E8" s="31">
        <v>234.61603290666645</v>
      </c>
      <c r="F8" s="31">
        <v>234.94702764266492</v>
      </c>
    </row>
    <row r="9" spans="1:6" x14ac:dyDescent="0.25">
      <c r="A9" s="30">
        <v>0.075405</v>
      </c>
      <c r="B9" s="31">
        <v>221.37060006525243</v>
      </c>
      <c r="C9" s="31">
        <v>221.64587961506658</v>
      </c>
      <c r="D9" s="31">
        <v>221.92115916488072</v>
      </c>
      <c r="E9" s="31">
        <v>222.19643871469484</v>
      </c>
      <c r="F9" s="31">
        <v>222.47171826450895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105925000000</v>
      </c>
      <c r="C5" s="18">
        <v>103262000000</v>
      </c>
      <c r="D5" s="18">
        <v>97671000000</v>
      </c>
      <c r="E5" s="18">
        <v>81461000000</v>
      </c>
      <c r="F5" s="8" t="s">
        <v>84</v>
      </c>
    </row>
    <row r="6" spans="1:6" x14ac:dyDescent="0.25">
      <c r="A6" t="s">
        <v>44</v>
      </c>
      <c r="B6" s="18">
        <v>9999000000</v>
      </c>
      <c r="C6" s="18">
        <v>9978000000</v>
      </c>
      <c r="D6" s="18">
        <v>8435000000</v>
      </c>
      <c r="E6" s="18">
        <v>6583000000</v>
      </c>
      <c r="F6" s="8" t="s">
        <v>85</v>
      </c>
    </row>
    <row r="7" spans="1:6" x14ac:dyDescent="0.25">
      <c r="A7" t="s">
        <v>86</v>
      </c>
      <c r="B7" s="18">
        <v>-735000000</v>
      </c>
      <c r="C7" s="18">
        <v>-562000000</v>
      </c>
      <c r="D7" s="18">
        <v>0</v>
      </c>
      <c r="E7" s="18">
        <v>54000000</v>
      </c>
      <c r="F7" s="8" t="s">
        <v>87</v>
      </c>
    </row>
    <row r="8" spans="1:6" x14ac:dyDescent="0.25">
      <c r="A8" t="s">
        <v>88</v>
      </c>
      <c r="B8" s="18">
        <v>428000000</v>
      </c>
      <c r="C8" s="18">
        <v>476000000</v>
      </c>
      <c r="D8" s="18">
        <v>419000000</v>
      </c>
      <c r="E8" s="18">
        <v>398000000</v>
      </c>
      <c r="F8" s="8" t="s">
        <v>89</v>
      </c>
    </row>
    <row r="9" spans="1:6" x14ac:dyDescent="0.25">
      <c r="A9" t="s">
        <v>90</v>
      </c>
      <c r="B9" s="18">
        <v>-18491000000</v>
      </c>
      <c r="C9" s="18">
        <v>-10380000000</v>
      </c>
      <c r="D9" s="18">
        <v>-1286000000</v>
      </c>
      <c r="E9" s="18">
        <v>8875000000</v>
      </c>
      <c r="F9" s="8" t="s">
        <v>91</v>
      </c>
    </row>
    <row r="10" spans="1:6" x14ac:dyDescent="0.25">
      <c r="A10" t="s">
        <v>92</v>
      </c>
      <c r="B10" s="18">
        <v>60492000000</v>
      </c>
      <c r="C10" s="18">
        <v>62450000000</v>
      </c>
      <c r="D10" s="18">
        <v>59870000000</v>
      </c>
      <c r="E10" s="18">
        <v>63658000000</v>
      </c>
      <c r="F10" s="8" t="s">
        <v>93</v>
      </c>
    </row>
    <row r="11" spans="1:6" x14ac:dyDescent="0.25">
      <c r="A11" t="s">
        <v>94</v>
      </c>
      <c r="B11" s="18">
        <v>319950000000</v>
      </c>
      <c r="C11" s="18">
        <v>333567000000</v>
      </c>
      <c r="D11" s="18">
        <v>332385000000</v>
      </c>
      <c r="E11" s="18">
        <v>317591000000</v>
      </c>
      <c r="F11" s="8" t="s">
        <v>95</v>
      </c>
    </row>
    <row r="12" spans="1:6" x14ac:dyDescent="0.25">
      <c r="A12" t="s">
        <v>32</v>
      </c>
      <c r="B12" s="34">
        <v>2055372364</v>
      </c>
      <c r="C12" s="34">
        <v>2175367655</v>
      </c>
      <c r="D12" s="34">
        <v>2226204119</v>
      </c>
      <c r="E12" s="34">
        <v>2297000000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54" customHeight="1" spans="1:6" x14ac:dyDescent="0.25">
      <c r="A19" s="35" t="s">
        <v>101</v>
      </c>
      <c r="B19" s="35"/>
      <c r="C19" s="35"/>
      <c r="D19" s="35"/>
      <c r="E19" s="35"/>
      <c r="F19" s="35"/>
    </row>
    <row r="20" ht="22" customHeight="1" spans="1:6" x14ac:dyDescent="0.25">
      <c r="A20" s="35" t="s">
        <v>102</v>
      </c>
      <c r="B20" s="35"/>
      <c r="C20" s="35"/>
      <c r="D20" s="35"/>
      <c r="E20" s="35"/>
      <c r="F20" s="35"/>
    </row>
    <row r="21" ht="22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2026-09-19T00:06:25Z</dcterms:modified>
</cp:coreProperties>
</file>