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<sst xmlns="http://schemas.openxmlformats.org/spreadsheetml/2006/main" count="114" uniqueCount="102">
  <si>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Capstone Copper Corp. (CSC.AX)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</si>
  <si>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</si>
  <si>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</si>
  <si>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</si>
  <si>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</si>
  <si>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</si>
  <si>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</si>
  <si>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</si>
  <si>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</si>
  <si>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</si>
  <si>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</si>
  <si>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</si>
  <si>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</si>
  <si>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</si>
  <si>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</si>
  <si>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</si>
  <si>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</si>
  <si>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</si>
  <si>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</si>
  <si>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</si>
  <si>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</si>
  <si>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</si>
  <si>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</si>
  <si>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</si>
  <si>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</si>
  <si>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</si>
  <si>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</si>
  <si>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</si>
  <si>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</si>
  <si>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</si>
  <si>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</si>
  <si>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</si>
  <si>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</si>
  <si>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</si>
  <si>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</si>
  <si>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</si>
  <si>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</si>
  <si>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</si>
  <si>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</si>
  <si>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</si>
  <si>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</si>
  <si>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</si>
  <si>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</si>
  <si>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</si>
  <si>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</si>
  <si>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</si>
  <si>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</si>
  <si>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</si>
  <si>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</si>
  <si>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</si>
  <si>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</si>
  <si>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</si>
  <si>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</si>
  <si>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</si>
  <si>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</si>
  <si>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</si>
  <si>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</si>
  <si>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</si>
  <si>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</si>
  <si>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</si>
  <si>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</si>
  <si>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</si>
  <si>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</si>
  <si>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</si>
  <si>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</si>
  <si>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</si>
  <si>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</si>
  <si>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</si>
  <si>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</si>
  <si>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</si>
  <si>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</si>
  <si>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</si>
  <si>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</si>
  <si>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</si>
  <si>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</si>
  <si>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</si>
  <si>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</si>
  <si>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</si>
  <si>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</si>
  <si>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</si>
  <si>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</si>
  <si>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</si>
  <si>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</si>
  <si>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</si>
  <si>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</si>
  <si>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</si>
  <si>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</si>
  <si>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</si>
  <si>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</si>
  <si>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</si>
  <si>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</si>
  <si>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</si>
  <si>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</si>
  <si>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</si>
  <si>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</si>
  <si>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</si>
  <si>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</si>
  <si>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</si>
  <si>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</si>
  <si>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Adjusted: Free cashflow is negative in at least one forecast year, so terminal value carries most of the valuation.</t>
  </si>
  <si>
    <t>Adjusted: Capital expenditure runs at 34.8% of revenue against depreciation of 17.9%.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</si>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</sst>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0.22112345183090332</v>
      </c>
    </row>
    <row r="7" spans="1:2" x14ac:dyDescent="0.25">
      <c r="A7" t="s">
        <v>5</v>
      </c>
      <c r="B7" s="6">
        <v>0.10341418341034705</v>
      </c>
    </row>
    <row r="8" spans="1:2" x14ac:dyDescent="0.25">
      <c r="A8" t="s">
        <v>6</v>
      </c>
      <c r="B8" s="6">
        <v>0.2972419097568152</v>
      </c>
    </row>
    <row r="9" spans="1:2" x14ac:dyDescent="0.25">
      <c r="A9" t="s">
        <v>7</v>
      </c>
      <c r="B9" s="6">
        <v>0.17867635061737597</v>
      </c>
    </row>
    <row r="10" spans="1:2" x14ac:dyDescent="0.25">
      <c r="A10" t="s">
        <v>8</v>
      </c>
      <c r="B10" s="6">
        <v>0.34759566836362144</v>
      </c>
    </row>
    <row r="11" spans="1:2" x14ac:dyDescent="0.25">
      <c r="A11" t="s">
        <v>9</v>
      </c>
      <c r="B11" s="6">
        <v>0.28819537564351333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12.457061779274651</v>
      </c>
    </row>
    <row r="14" spans="1:3" x14ac:dyDescent="0.25">
      <c r="A14" t="s">
        <v>12</v>
      </c>
      <c r="B14" s="6">
        <v>0.1515224379025381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1.81204</v>
      </c>
      <c r="C19" s="8" t="s">
        <v>19</v>
      </c>
    </row>
    <row r="20" spans="1:2" x14ac:dyDescent="0.25">
      <c r="A20" t="s">
        <v>20</v>
      </c>
      <c r="B20" s="10">
        <f>B17+B19*B18</f>
        <v>0.1622024</v>
      </c>
    </row>
    <row r="21" spans="1:3" x14ac:dyDescent="0.25">
      <c r="A21" t="s">
        <v>21</v>
      </c>
      <c r="B21" s="6">
        <v>0.09037727426531679</v>
      </c>
      <c r="C21" s="8" t="s">
        <v>22</v>
      </c>
    </row>
    <row r="22" spans="1:2" x14ac:dyDescent="0.25">
      <c r="A22" t="s">
        <v>23</v>
      </c>
      <c r="B22" s="11">
        <v>10977951744</v>
      </c>
    </row>
    <row r="23" spans="1:2" x14ac:dyDescent="0.25">
      <c r="A23" t="s">
        <v>24</v>
      </c>
      <c r="B23" s="11">
        <v>1332182000</v>
      </c>
    </row>
    <row r="24" spans="1:2" x14ac:dyDescent="0.25">
      <c r="A24" t="s">
        <v>25</v>
      </c>
      <c r="B24" s="10">
        <f>B22/(B22+B23)</f>
        <v>0.8917816794111347</v>
      </c>
    </row>
    <row r="25" spans="1:2" x14ac:dyDescent="0.25">
      <c r="A25" t="s">
        <v>26</v>
      </c>
      <c r="B25" s="10">
        <f>1-B24</f>
        <v>0.10821832058886527</v>
      </c>
    </row>
    <row r="26" spans="1:2" x14ac:dyDescent="0.25">
      <c r="A26" t="s">
        <v>27</v>
      </c>
      <c r="B26" s="12">
        <f>B24*B20+B25*B21*(1-B8)</f>
        <v>0.1515224379025381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2359890000</v>
      </c>
      <c r="C29" s="8" t="s">
        <v>30</v>
      </c>
    </row>
    <row r="30" spans="1:2" x14ac:dyDescent="0.25">
      <c r="A30" t="s">
        <v>31</v>
      </c>
      <c r="B30" s="11">
        <v>1027990000</v>
      </c>
    </row>
    <row r="31" spans="1:2" x14ac:dyDescent="0.25">
      <c r="A31" t="s">
        <v>32</v>
      </c>
      <c r="B31" s="13">
        <v>764351538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0.22112345183090332</v>
      </c>
      <c r="C5" s="10">
        <f>Assumptions!B6</f>
        <v>0.22112345183090332</v>
      </c>
      <c r="D5" s="10">
        <f>Assumptions!B6</f>
        <v>0.22112345183090332</v>
      </c>
      <c r="E5" s="10">
        <f>Assumptions!B6</f>
        <v>0.22112345183090332</v>
      </c>
      <c r="F5" s="10">
        <f>Assumptions!B6</f>
        <v>0.22112345183090332</v>
      </c>
    </row>
    <row r="6" spans="1:6" x14ac:dyDescent="0.25">
      <c r="A6" t="s">
        <v>43</v>
      </c>
      <c r="B6" s="18">
        <f>Assumptions!B29*(1+B5)</f>
        <v>2881717022.7412305</v>
      </c>
      <c r="C6" s="18">
        <f>B6*(1+C5)</f>
        <v>3518932238.009645</v>
      </c>
      <c r="D6" s="18">
        <f>C6*(1+D5)</f>
        <v>4297050681.237384</v>
      </c>
      <c r="E6" s="18">
        <f>D6*(1+E5)</f>
        <v>5247229360.564929</v>
      </c>
      <c r="F6" s="18">
        <f>E6*(1+F5)</f>
        <v>6407514829.321509</v>
      </c>
    </row>
    <row r="7" spans="1:6" x14ac:dyDescent="0.25">
      <c r="A7" t="s">
        <v>5</v>
      </c>
      <c r="B7" s="10">
        <f>Assumptions!B7</f>
        <v>0.10341418341034705</v>
      </c>
      <c r="C7" s="10">
        <f>Assumptions!B7</f>
        <v>0.10341418341034705</v>
      </c>
      <c r="D7" s="10">
        <f>Assumptions!B7</f>
        <v>0.10341418341034705</v>
      </c>
      <c r="E7" s="10">
        <f>Assumptions!B7</f>
        <v>0.10341418341034705</v>
      </c>
      <c r="F7" s="10">
        <f>Assumptions!B7</f>
        <v>0.10341418341034705</v>
      </c>
    </row>
    <row r="8" spans="1:6" x14ac:dyDescent="0.25">
      <c r="A8" t="s">
        <v>44</v>
      </c>
      <c r="B8" s="18">
        <f>B6*B7</f>
        <v>298010412.72648084</v>
      </c>
      <c r="C8" s="18">
        <f>C6*C7</f>
        <v>363907503.8701125</v>
      </c>
      <c r="D8" s="18">
        <f>D6*D7</f>
        <v>444375987.2730396</v>
      </c>
      <c r="E8" s="18">
        <f>E6*E7</f>
        <v>542637939.4896196</v>
      </c>
      <c r="F8" s="18">
        <f>F6*F7</f>
        <v>662627913.7639731</v>
      </c>
    </row>
    <row r="9" spans="1:6" x14ac:dyDescent="0.25">
      <c r="A9" t="s">
        <v>45</v>
      </c>
      <c r="B9" s="18">
        <f>B8*(1-Assumptions!B8)</f>
        <v>209429228.520245</v>
      </c>
      <c r="C9" s="18">
        <f>C8*(1-Assumptions!B8)</f>
        <v>255738942.44492462</v>
      </c>
      <c r="D9" s="18">
        <f>D8*(1-Assumptions!B8)</f>
        <v>312288820.1659311</v>
      </c>
      <c r="E9" s="18">
        <f>E8*(1-Assumptions!B8)</f>
        <v>381343202.04922193</v>
      </c>
      <c r="F9" s="18">
        <f>F8*(1-Assumptions!B8)</f>
        <v>465667127.2185955</v>
      </c>
    </row>
    <row r="10" spans="1:6" x14ac:dyDescent="0.25">
      <c r="A10" t="s">
        <v>46</v>
      </c>
      <c r="B10" s="18">
        <f>B6*Assumptions!B9</f>
        <v>514894681.1353729</v>
      </c>
      <c r="C10" s="18">
        <f>C6*Assumptions!B9</f>
        <v>628749970.3573989</v>
      </c>
      <c r="D10" s="18">
        <f>D6*Assumptions!B9</f>
        <v>767781334.1414051</v>
      </c>
      <c r="E10" s="18">
        <f>E6*Assumptions!B9</f>
        <v>937555792.9980887</v>
      </c>
      <c r="F10" s="18">
        <f>F6*Assumptions!B9</f>
        <v>1144871366.229886</v>
      </c>
    </row>
    <row r="11" spans="1:6" x14ac:dyDescent="0.25">
      <c r="A11" t="s">
        <v>47</v>
      </c>
      <c r="B11" s="18">
        <f>-B6*Assumptions!B10</f>
        <v>-1001672354.5545633</v>
      </c>
      <c r="C11" s="18">
        <f>-C6*Assumptions!B10</f>
        <v>-1223165603.1972568</v>
      </c>
      <c r="D11" s="18">
        <f>-D6*Assumptions!B10</f>
        <v>-1493636203.5370631</v>
      </c>
      <c r="E11" s="18">
        <f>-E6*Assumptions!B10</f>
        <v>-1823914196.6427844</v>
      </c>
      <c r="F11" s="18">
        <f>-F6*Assumptions!B10</f>
        <v>-2227224399.6478257</v>
      </c>
    </row>
    <row r="12" spans="1:6" x14ac:dyDescent="0.25">
      <c r="A12" t="s">
        <v>48</v>
      </c>
      <c r="B12" s="18">
        <f>-(B6-Assumptions!B29)*Assumptions!B11</f>
        <v>-150388134.8398451</v>
      </c>
      <c r="C12" s="18">
        <f>-(C6-B6)*Assumptions!B11</f>
        <v>-183642478.33004293</v>
      </c>
      <c r="D12" s="18">
        <f>-(D6-C6)*Assumptions!B11</f>
        <v>-224250137.041164</v>
      </c>
      <c r="E12" s="18">
        <f>-(E6-D6)*Assumptions!B11</f>
        <v>-273837101.4172593</v>
      </c>
      <c r="F12" s="18">
        <f>-(F6-E6)*Assumptions!B11</f>
        <v>-334388906.52201265</v>
      </c>
    </row>
    <row r="13" spans="1:6" x14ac:dyDescent="0.25">
      <c r="A13" s="19" t="s">
        <v>49</v>
      </c>
      <c r="B13" s="20">
        <f>B9+B10+B11+B12</f>
        <v>-427736579.7387905</v>
      </c>
      <c r="C13" s="20">
        <f>C9+C10+C11+C12</f>
        <v>-522319168.7249763</v>
      </c>
      <c r="D13" s="20">
        <f>D9+D10+D11+D12</f>
        <v>-637816186.2708908</v>
      </c>
      <c r="E13" s="20">
        <f>E9+E10+E11+E12</f>
        <v>-778852303.012733</v>
      </c>
      <c r="F13" s="20">
        <f>F9+F10+F11+F12</f>
        <v>-951074812.7213569</v>
      </c>
    </row>
    <row r="14" spans="1:6" x14ac:dyDescent="0.25">
      <c r="A14" t="s">
        <v>50</v>
      </c>
      <c r="B14" s="21">
        <f>1/(1+Assumptions!$B$26)^(1-0.5*Assumptions!$B$32)</f>
        <v>0.9318881679686473</v>
      </c>
      <c r="C14" s="21">
        <f>1/(1+Assumptions!$B$26)^(2-0.5*Assumptions!$B$32)</f>
        <v>0.8092661830072997</v>
      </c>
      <c r="D14" s="21">
        <f>1/(1+Assumptions!$B$26)^(3-0.5*Assumptions!$B$32)</f>
        <v>0.7027793435630768</v>
      </c>
      <c r="E14" s="21">
        <f>1/(1+Assumptions!$B$26)^(4-0.5*Assumptions!$B$32)</f>
        <v>0.6103045155100645</v>
      </c>
      <c r="F14" s="21">
        <f>1/(1+Assumptions!$B$26)^(5-0.5*Assumptions!$B$32)</f>
        <v>0.5299979361424471</v>
      </c>
    </row>
    <row r="15" spans="1:6" x14ac:dyDescent="0.25">
      <c r="A15" s="19" t="s">
        <v>51</v>
      </c>
      <c r="B15" s="20">
        <f>B13*B14</f>
        <v>-398602657.6659567</v>
      </c>
      <c r="C15" s="20">
        <f>C13*C14</f>
        <v>-422695239.9856073</v>
      </c>
      <c r="D15" s="20">
        <f>D13*D14</f>
        <v>-448244040.7013618</v>
      </c>
      <c r="E15" s="20">
        <f>E13*E14</f>
        <v>-475337077.4440839</v>
      </c>
      <c r="F15" s="20">
        <f>F13*F14</f>
        <v>-504067687.85938346</v>
      </c>
    </row>
    <row r="17" spans="1:2" x14ac:dyDescent="0.25">
      <c r="A17" s="22" t="s">
        <v>52</v>
      </c>
      <c r="B17" s="23">
        <f>SUM(B15:F15)</f>
        <v>-2248946703.656393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-951074812.7213569</v>
      </c>
    </row>
    <row r="5" spans="1:2" x14ac:dyDescent="0.25">
      <c r="A5" t="s">
        <v>56</v>
      </c>
      <c r="B5" s="18">
        <f>IF(Assumptions!$B$33=0,B4,B4-Forecast!F11-Forecast!F10-Forecast!F12)</f>
        <v>465667127.2185955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0.16499206550570708</v>
      </c>
    </row>
    <row r="7" spans="1:2" x14ac:dyDescent="0.25">
      <c r="A7" t="s">
        <v>58</v>
      </c>
      <c r="B7" s="18">
        <f>-MAX(Forecast!F9,0)*B6</f>
        <v>-76831381.15790494</v>
      </c>
    </row>
    <row r="8" spans="1:2" x14ac:dyDescent="0.25">
      <c r="A8" t="s">
        <v>59</v>
      </c>
      <c r="B8" s="18">
        <f>IF(OR(Assumptions!$B$33=0,Assumptions!B12&lt;=0),B5,MAX(B5+B7,0))</f>
        <v>388835746.0606906</v>
      </c>
    </row>
    <row r="9" spans="1:2" x14ac:dyDescent="0.25">
      <c r="A9" t="s">
        <v>60</v>
      </c>
      <c r="B9" s="18">
        <f>B8*(1+Assumptions!B12)/(Assumptions!B26-Assumptions!B12)</f>
        <v>3150086627.474102</v>
      </c>
    </row>
    <row r="10" spans="1:2" x14ac:dyDescent="0.25">
      <c r="A10" t="s">
        <v>61</v>
      </c>
      <c r="B10" s="18">
        <f>B9/(1+Assumptions!B26)^(5-0.5*Assumptions!B32)</f>
        <v>1669539411.2311954</v>
      </c>
    </row>
    <row r="11" spans="1:2" x14ac:dyDescent="0.25">
      <c r="A11" t="s">
        <v>62</v>
      </c>
      <c r="B11" s="18">
        <f>Forecast!B17+B10</f>
        <v>-579407292.4251976</v>
      </c>
    </row>
    <row r="12" spans="1:2" x14ac:dyDescent="0.25">
      <c r="A12" t="s">
        <v>63</v>
      </c>
      <c r="B12" s="18">
        <f>-Assumptions!B30</f>
        <v>-1027990000</v>
      </c>
    </row>
    <row r="13" spans="1:2" x14ac:dyDescent="0.25">
      <c r="A13" t="s">
        <v>64</v>
      </c>
      <c r="B13" s="18">
        <f>B11+B12</f>
        <v>-1607397292.4251976</v>
      </c>
    </row>
    <row r="14" spans="1:2" x14ac:dyDescent="0.25">
      <c r="A14" s="19" t="s">
        <v>65</v>
      </c>
      <c r="B14" s="24">
        <f>B13/Assumptions!B31</f>
        <v>-2.102955528330732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1807499279.9938593</v>
      </c>
    </row>
    <row r="18" spans="1:2" x14ac:dyDescent="0.25">
      <c r="A18" t="s">
        <v>60</v>
      </c>
      <c r="B18" s="18">
        <f>B17*Assumptions!B13</f>
        <v>22516130196.877956</v>
      </c>
    </row>
    <row r="19" spans="1:2" x14ac:dyDescent="0.25">
      <c r="A19" t="s">
        <v>61</v>
      </c>
      <c r="B19" s="18">
        <f>B18/(1+Assumptions!B26)^(5-0.5*Assumptions!B32)</f>
        <v>11933502534.259947</v>
      </c>
    </row>
    <row r="20" spans="1:2" x14ac:dyDescent="0.25">
      <c r="A20" t="s">
        <v>62</v>
      </c>
      <c r="B20" s="18">
        <f>Forecast!B17+B19</f>
        <v>9684555830.603554</v>
      </c>
    </row>
    <row r="21" spans="1:2" x14ac:dyDescent="0.25">
      <c r="A21" t="s">
        <v>63</v>
      </c>
      <c r="B21" s="18">
        <f>-Assumptions!B30</f>
        <v>-1027990000</v>
      </c>
    </row>
    <row r="22" spans="1:2" x14ac:dyDescent="0.25">
      <c r="A22" t="s">
        <v>64</v>
      </c>
      <c r="B22" s="18">
        <f>B20+B21</f>
        <v>8656565830.603554</v>
      </c>
    </row>
    <row r="23" spans="1:2" x14ac:dyDescent="0.25">
      <c r="A23" s="19" t="s">
        <v>65</v>
      </c>
      <c r="B23" s="25">
        <f>B22/Assumptions!B31</f>
        <v>11.325372423864415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14.37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-2.952970152882014</v>
      </c>
    </row>
    <row r="29" spans="1:2" x14ac:dyDescent="0.25">
      <c r="A29" s="19" t="s">
        <v>73</v>
      </c>
      <c r="B29" s="12">
        <f>B28/B26-1</f>
        <v>-1.2054954873265145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0.131522</v>
      </c>
      <c r="B5" s="31">
        <v>-1.7299277083619655</v>
      </c>
      <c r="C5" s="31">
        <v>-1.716645492723652</v>
      </c>
      <c r="D5" s="31">
        <v>-1.7033632770853382</v>
      </c>
      <c r="E5" s="31">
        <v>-1.6900810614470239</v>
      </c>
      <c r="F5" s="31">
        <v>-1.676798845808711</v>
      </c>
    </row>
    <row r="6" spans="1:6" x14ac:dyDescent="0.25">
      <c r="A6" s="30">
        <v>0.141522</v>
      </c>
      <c r="B6" s="31">
        <v>-1.9468877059177496</v>
      </c>
      <c r="C6" s="31">
        <v>-1.93502321255557</v>
      </c>
      <c r="D6" s="31">
        <v>-1.923158719193391</v>
      </c>
      <c r="E6" s="31">
        <v>-1.9112942258312113</v>
      </c>
      <c r="F6" s="31">
        <v>-1.8994297324690328</v>
      </c>
    </row>
    <row r="7" spans="1:6" x14ac:dyDescent="0.25">
      <c r="A7" s="30">
        <v>0.151522</v>
      </c>
      <c r="B7" s="31">
        <v>-2.124258318708976</v>
      </c>
      <c r="C7" s="31">
        <v>-2.113603362504325</v>
      </c>
      <c r="D7" s="32">
        <v>-2.1029484062996735</v>
      </c>
      <c r="E7" s="31">
        <v>-2.0922934500950223</v>
      </c>
      <c r="F7" s="31">
        <v>-2.081638493890371</v>
      </c>
    </row>
    <row r="8" spans="1:6" x14ac:dyDescent="0.25">
      <c r="A8" s="30">
        <v>0.161522</v>
      </c>
      <c r="B8" s="31">
        <v>-2.2699807972816446</v>
      </c>
      <c r="C8" s="31">
        <v>-2.2603669486979645</v>
      </c>
      <c r="D8" s="31">
        <v>-2.250753100114284</v>
      </c>
      <c r="E8" s="31">
        <v>-2.241139251530603</v>
      </c>
      <c r="F8" s="31">
        <v>-2.2315254029469234</v>
      </c>
    </row>
    <row r="9" spans="1:6" x14ac:dyDescent="0.25">
      <c r="A9" s="30">
        <v>0.171522</v>
      </c>
      <c r="B9" s="31">
        <v>-2.3901086544584746</v>
      </c>
      <c r="C9" s="31">
        <v>-2.3813979036355466</v>
      </c>
      <c r="D9" s="31">
        <v>-2.3726871528126185</v>
      </c>
      <c r="E9" s="31">
        <v>-2.3639764019896896</v>
      </c>
      <c r="F9" s="31">
        <v>-2.3552656511667616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2359890000</v>
      </c>
      <c r="C5" s="18">
        <v>1599222000</v>
      </c>
      <c r="D5" s="18">
        <v>1345511000</v>
      </c>
      <c r="E5" s="18">
        <v>1296024000</v>
      </c>
      <c r="F5" s="8" t="s">
        <v>84</v>
      </c>
    </row>
    <row r="6" spans="1:6" x14ac:dyDescent="0.25">
      <c r="A6" t="s">
        <v>44</v>
      </c>
      <c r="B6" s="18">
        <v>482250000</v>
      </c>
      <c r="C6" s="18">
        <v>148247000</v>
      </c>
      <c r="D6" s="18">
        <v>18046000</v>
      </c>
      <c r="E6" s="18">
        <v>133740000</v>
      </c>
      <c r="F6" s="8" t="s">
        <v>85</v>
      </c>
    </row>
    <row r="7" spans="1:6" x14ac:dyDescent="0.25">
      <c r="A7" t="s">
        <v>86</v>
      </c>
      <c r="B7" s="18">
        <v>481536000</v>
      </c>
      <c r="C7" s="18">
        <v>316154000</v>
      </c>
      <c r="D7" s="18">
        <v>238195000</v>
      </c>
      <c r="E7" s="18">
        <v>176173000</v>
      </c>
      <c r="F7" s="8" t="s">
        <v>87</v>
      </c>
    </row>
    <row r="8" spans="1:6" x14ac:dyDescent="0.25">
      <c r="A8" t="s">
        <v>88</v>
      </c>
      <c r="B8" s="18">
        <v>519097000</v>
      </c>
      <c r="C8" s="18">
        <v>448032000</v>
      </c>
      <c r="D8" s="18">
        <v>616729000</v>
      </c>
      <c r="E8" s="18">
        <v>559752000</v>
      </c>
      <c r="F8" s="8" t="s">
        <v>89</v>
      </c>
    </row>
    <row r="9" spans="1:6" x14ac:dyDescent="0.25">
      <c r="A9" t="s">
        <v>90</v>
      </c>
      <c r="B9" s="18">
        <v>219221000</v>
      </c>
      <c r="C9" s="18">
        <v>3201000</v>
      </c>
      <c r="D9" s="18">
        <v>90635000</v>
      </c>
      <c r="E9" s="18">
        <v>93809000</v>
      </c>
      <c r="F9" s="8" t="s">
        <v>91</v>
      </c>
    </row>
    <row r="10" spans="1:6" x14ac:dyDescent="0.25">
      <c r="A10" t="s">
        <v>92</v>
      </c>
      <c r="B10" s="18">
        <v>1332182000</v>
      </c>
      <c r="C10" s="18">
        <v>1185774000</v>
      </c>
      <c r="D10" s="18">
        <v>1160773000</v>
      </c>
      <c r="E10" s="18">
        <v>702972000</v>
      </c>
      <c r="F10" s="8" t="s">
        <v>93</v>
      </c>
    </row>
    <row r="11" spans="1:6" x14ac:dyDescent="0.25">
      <c r="A11" t="s">
        <v>94</v>
      </c>
      <c r="B11" s="18">
        <v>304192000</v>
      </c>
      <c r="C11" s="18">
        <v>131593000</v>
      </c>
      <c r="D11" s="18">
        <v>126820000</v>
      </c>
      <c r="E11" s="18">
        <v>171860000</v>
      </c>
      <c r="F11" s="8" t="s">
        <v>95</v>
      </c>
    </row>
    <row r="12" spans="1:6" x14ac:dyDescent="0.25">
      <c r="A12" t="s">
        <v>32</v>
      </c>
      <c r="B12" s="34">
        <v>764351538</v>
      </c>
      <c r="C12" s="34">
        <v>752248608</v>
      </c>
      <c r="D12" s="34">
        <v>693520515</v>
      </c>
      <c r="E12" s="34">
        <v>630179251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2026-09-19T00:06:12Z</dcterms:modified>
</cp:coreProperties>
</file>