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<sst xmlns="http://schemas.openxmlformats.org/spreadsheetml/2006/main" count="113" uniqueCount="101">
  <si>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Cisco Systems, Inc. (CSCO)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</si>
  <si>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</si>
  <si>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</si>
  <si>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</si>
  <si>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</si>
  <si>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</si>
  <si>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</si>
  <si>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</si>
  <si>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</si>
  <si>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</si>
  <si>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</si>
  <si>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</si>
  <si>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</si>
  <si>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</si>
  <si>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</si>
  <si>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</si>
  <si>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</si>
  <si>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</si>
  <si>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</si>
  <si>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</si>
  <si>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</si>
  <si>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</si>
  <si>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</si>
  <si>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</si>
  <si>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</si>
  <si>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</si>
  <si>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</si>
  <si>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</si>
  <si>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</si>
  <si>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</si>
  <si>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</si>
  <si>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</si>
  <si>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</si>
  <si>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</si>
  <si>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</si>
  <si>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</si>
  <si>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</si>
  <si>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</si>
  <si>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</si>
  <si>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</si>
  <si>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</si>
  <si>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</si>
  <si>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</si>
  <si>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</si>
  <si>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</si>
  <si>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</si>
  <si>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</si>
  <si>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</si>
  <si>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</si>
  <si>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</si>
  <si>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</si>
  <si>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</si>
  <si>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</si>
  <si>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</si>
  <si>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</si>
  <si>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</si>
  <si>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</si>
  <si>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</si>
  <si>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</si>
  <si>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</si>
  <si>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</si>
  <si>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</si>
  <si>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</si>
  <si>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</si>
  <si>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</si>
  <si>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</si>
  <si>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</si>
  <si>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</si>
  <si>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</si>
  <si>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</si>
  <si>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</si>
  <si>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</si>
  <si>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</si>
  <si>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</si>
  <si>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</si>
  <si>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</si>
  <si>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</si>
  <si>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</si>
  <si>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</si>
  <si>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</si>
  <si>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</si>
  <si>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</si>
  <si>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</si>
  <si>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</si>
  <si>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</si>
  <si>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</si>
  <si>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</si>
  <si>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</si>
  <si>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</si>
  <si>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</si>
  <si>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</si>
  <si>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</si>
  <si>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</si>
  <si>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</si>
  <si>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</si>
  <si>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</si>
  <si>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</si>
  <si>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</si>
  <si>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Reported capital expenditure averages 1.64% of revenue against depreciation of 4.17%. A business cannot depreciate more than it invests indefinitely. Capex has been set to 4.17% of revenue so the forecast is not handed free growth. Override it if the reported figure is right.</t>
  </si>
  <si>
    <t>Current EV/EBITDA of 23.9x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</si>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</sst>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0.03571085300180399</v>
      </c>
    </row>
    <row r="7" spans="1:2" x14ac:dyDescent="0.25">
      <c r="A7" t="s">
        <v>5</v>
      </c>
      <c r="B7" s="6">
        <v>0.247107003915956</v>
      </c>
    </row>
    <row r="8" spans="1:2" x14ac:dyDescent="0.25">
      <c r="A8" t="s">
        <v>6</v>
      </c>
      <c r="B8" s="6">
        <v>0.16386394778979002</v>
      </c>
    </row>
    <row r="9" spans="1:2" x14ac:dyDescent="0.25">
      <c r="A9" t="s">
        <v>7</v>
      </c>
      <c r="B9" s="6">
        <v>0.04165129826619756</v>
      </c>
    </row>
    <row r="10" spans="1:2" x14ac:dyDescent="0.25">
      <c r="A10" t="s">
        <v>8</v>
      </c>
      <c r="B10" s="6">
        <v>0.04165129826619756</v>
      </c>
    </row>
    <row r="11" spans="1:2" x14ac:dyDescent="0.25">
      <c r="A11" t="s">
        <v>9</v>
      </c>
      <c r="B11" s="6">
        <v>0.4531743247983164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0.15506897232238825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0.99464</v>
      </c>
      <c r="C19" s="8" t="s">
        <v>19</v>
      </c>
    </row>
    <row r="20" spans="1:2" x14ac:dyDescent="0.25">
      <c r="A20" t="s">
        <v>20</v>
      </c>
      <c r="B20" s="10">
        <f>B17+B19*B18</f>
        <v>0.1046852</v>
      </c>
    </row>
    <row r="21" spans="1:3" x14ac:dyDescent="0.25">
      <c r="A21" t="s">
        <v>21</v>
      </c>
      <c r="B21" s="6">
        <v>0.051018637420608755</v>
      </c>
      <c r="C21" s="8" t="s">
        <v>22</v>
      </c>
    </row>
    <row r="22" spans="1:2" x14ac:dyDescent="0.25">
      <c r="A22" t="s">
        <v>23</v>
      </c>
      <c r="B22" s="11">
        <v>431752708096</v>
      </c>
    </row>
    <row r="23" spans="1:2" x14ac:dyDescent="0.25">
      <c r="A23" t="s">
        <v>24</v>
      </c>
      <c r="B23" s="11">
        <v>29533000000</v>
      </c>
    </row>
    <row r="24" spans="1:2" x14ac:dyDescent="0.25">
      <c r="A24" t="s">
        <v>25</v>
      </c>
      <c r="B24" s="10">
        <f>B22/(B22+B23)</f>
        <v>0.9359767721356462</v>
      </c>
    </row>
    <row r="25" spans="1:2" x14ac:dyDescent="0.25">
      <c r="A25" t="s">
        <v>26</v>
      </c>
      <c r="B25" s="10">
        <f>1-B24</f>
        <v>0.06402322786435377</v>
      </c>
    </row>
    <row r="26" spans="1:2" x14ac:dyDescent="0.25">
      <c r="A26" t="s">
        <v>27</v>
      </c>
      <c r="B26" s="12">
        <f>B24*B20+B25*B21*(1-B8)</f>
        <v>0.10071405186598778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63325000000</v>
      </c>
      <c r="C29" s="8" t="s">
        <v>30</v>
      </c>
    </row>
    <row r="30" spans="1:2" x14ac:dyDescent="0.25">
      <c r="A30" t="s">
        <v>31</v>
      </c>
      <c r="B30" s="11">
        <v>13615000000</v>
      </c>
    </row>
    <row r="31" spans="1:2" x14ac:dyDescent="0.25">
      <c r="A31" t="s">
        <v>32</v>
      </c>
      <c r="B31" s="13">
        <v>3946000000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0.03571085300180399</v>
      </c>
      <c r="C5" s="10">
        <f>Assumptions!B6</f>
        <v>0.03571085300180399</v>
      </c>
      <c r="D5" s="10">
        <f>Assumptions!B6</f>
        <v>0.03571085300180399</v>
      </c>
      <c r="E5" s="10">
        <f>Assumptions!B6</f>
        <v>0.03571085300180399</v>
      </c>
      <c r="F5" s="10">
        <f>Assumptions!B6</f>
        <v>0.03571085300180399</v>
      </c>
    </row>
    <row r="6" spans="1:6" x14ac:dyDescent="0.25">
      <c r="A6" t="s">
        <v>43</v>
      </c>
      <c r="B6" s="18">
        <f>Assumptions!B29*(1+B5)</f>
        <v>65586389766.33924</v>
      </c>
      <c r="C6" s="18">
        <f>B6*(1+C5)</f>
        <v>67928535690.204</v>
      </c>
      <c r="D6" s="18">
        <f>C6*(1+D5)</f>
        <v>70354321642.86467</v>
      </c>
      <c r="E6" s="18">
        <f>D6*(1+E5)</f>
        <v>72866734481.09465</v>
      </c>
      <c r="F6" s="18">
        <f>E6*(1+F5)</f>
        <v>75468867724.8705</v>
      </c>
    </row>
    <row r="7" spans="1:6" x14ac:dyDescent="0.25">
      <c r="A7" t="s">
        <v>5</v>
      </c>
      <c r="B7" s="10">
        <f>Assumptions!B7</f>
        <v>0.247107003915956</v>
      </c>
      <c r="C7" s="10">
        <f>Assumptions!B7</f>
        <v>0.247107003915956</v>
      </c>
      <c r="D7" s="10">
        <f>Assumptions!B7</f>
        <v>0.247107003915956</v>
      </c>
      <c r="E7" s="10">
        <f>Assumptions!B7</f>
        <v>0.247107003915956</v>
      </c>
      <c r="F7" s="10">
        <f>Assumptions!B7</f>
        <v>0.247107003915956</v>
      </c>
    </row>
    <row r="8" spans="1:6" x14ac:dyDescent="0.25">
      <c r="A8" t="s">
        <v>44</v>
      </c>
      <c r="B8" s="18">
        <f>B6*B7</f>
        <v>16206856272.824207</v>
      </c>
      <c r="C8" s="18">
        <f>C6*C7</f>
        <v>16785616934.804398</v>
      </c>
      <c r="D8" s="18">
        <f>D6*D7</f>
        <v>17385045633.707787</v>
      </c>
      <c r="E8" s="18">
        <f>E6*E7</f>
        <v>18005880442.762783</v>
      </c>
      <c r="F8" s="18">
        <f>F6*F7</f>
        <v>18648885792.42234</v>
      </c>
    </row>
    <row r="9" spans="1:6" x14ac:dyDescent="0.25">
      <c r="A9" t="s">
        <v>45</v>
      </c>
      <c r="B9" s="18">
        <f>B8*(1-Assumptions!B8)</f>
        <v>13551136822.69751</v>
      </c>
      <c r="C9" s="18">
        <f>C8*(1-Assumptions!B8)</f>
        <v>14035059477.780193</v>
      </c>
      <c r="D9" s="18">
        <f>D8*(1-Assumptions!B8)</f>
        <v>14536263423.662775</v>
      </c>
      <c r="E9" s="18">
        <f>E8*(1-Assumptions!B8)</f>
        <v>15055365789.9807</v>
      </c>
      <c r="F9" s="18">
        <f>F8*(1-Assumptions!B8)</f>
        <v>15593005744.595089</v>
      </c>
    </row>
    <row r="10" spans="1:6" x14ac:dyDescent="0.25">
      <c r="A10" t="s">
        <v>46</v>
      </c>
      <c r="B10" s="18">
        <f>B6*Assumptions!B9</f>
        <v>2731758282.360883</v>
      </c>
      <c r="C10" s="18">
        <f>C6*Assumptions!B9</f>
        <v>2829311700.818733</v>
      </c>
      <c r="D10" s="18">
        <f>D6*Assumptions!B9</f>
        <v>2930348835.062955</v>
      </c>
      <c r="E10" s="18">
        <f>E6*Assumptions!B9</f>
        <v>3034994091.555896</v>
      </c>
      <c r="F10" s="18">
        <f>F6*Assumptions!B9</f>
        <v>3143376319.4207916</v>
      </c>
    </row>
    <row r="11" spans="1:6" x14ac:dyDescent="0.25">
      <c r="A11" t="s">
        <v>47</v>
      </c>
      <c r="B11" s="18">
        <f>-B6*Assumptions!B10</f>
        <v>-2731758282.360883</v>
      </c>
      <c r="C11" s="18">
        <f>-C6*Assumptions!B10</f>
        <v>-2829311700.818733</v>
      </c>
      <c r="D11" s="18">
        <f>-D6*Assumptions!B10</f>
        <v>-2930348835.062955</v>
      </c>
      <c r="E11" s="18">
        <f>-E6*Assumptions!B10</f>
        <v>-3034994091.555896</v>
      </c>
      <c r="F11" s="18">
        <f>-F6*Assumptions!B10</f>
        <v>-3143376319.4207916</v>
      </c>
    </row>
    <row r="12" spans="1:6" x14ac:dyDescent="0.25">
      <c r="A12" t="s">
        <v>48</v>
      </c>
      <c r="B12" s="18">
        <f>-(B6-Assumptions!B29)*Assumptions!B11</f>
        <v>-1024803780.4666079</v>
      </c>
      <c r="C12" s="18">
        <f>-(C6-B6)*Assumptions!B11</f>
        <v>-1061400397.6265421</v>
      </c>
      <c r="D12" s="18">
        <f>-(D6-C6)*Assumptions!B11</f>
        <v>-1099303911.2022386</v>
      </c>
      <c r="E12" s="18">
        <f>-(E6-D6)*Assumptions!B11</f>
        <v>-1138560991.579493</v>
      </c>
      <c r="F12" s="18">
        <f>-(F6-E6)*Assumptions!B11</f>
        <v>-1179219975.7833729</v>
      </c>
    </row>
    <row r="13" spans="1:6" x14ac:dyDescent="0.25">
      <c r="A13" s="19" t="s">
        <v>49</v>
      </c>
      <c r="B13" s="20">
        <f>B9+B10+B11+B12</f>
        <v>12526333042.230902</v>
      </c>
      <c r="C13" s="20">
        <f>C9+C10+C11+C12</f>
        <v>12973659080.153652</v>
      </c>
      <c r="D13" s="20">
        <f>D9+D10+D11+D12</f>
        <v>13436959512.460539</v>
      </c>
      <c r="E13" s="20">
        <f>E9+E10+E11+E12</f>
        <v>13916804798.401205</v>
      </c>
      <c r="F13" s="20">
        <f>F9+F10+F11+F12</f>
        <v>14413785768.811716</v>
      </c>
    </row>
    <row r="14" spans="1:6" x14ac:dyDescent="0.25">
      <c r="A14" t="s">
        <v>50</v>
      </c>
      <c r="B14" s="21">
        <f>1/(1+Assumptions!$B$26)^(1-0.5*Assumptions!$B$32)</f>
        <v>0.9531532754002635</v>
      </c>
      <c r="C14" s="21">
        <f>1/(1+Assumptions!$B$26)^(2-0.5*Assumptions!$B$32)</f>
        <v>0.8659408624650775</v>
      </c>
      <c r="D14" s="21">
        <f>1/(1+Assumptions!$B$26)^(3-0.5*Assumptions!$B$32)</f>
        <v>0.7867082835883576</v>
      </c>
      <c r="E14" s="21">
        <f>1/(1+Assumptions!$B$26)^(4-0.5*Assumptions!$B$32)</f>
        <v>0.7147253932614822</v>
      </c>
      <c r="F14" s="21">
        <f>1/(1+Assumptions!$B$26)^(5-0.5*Assumptions!$B$32)</f>
        <v>0.6493288534382227</v>
      </c>
    </row>
    <row r="15" spans="1:6" x14ac:dyDescent="0.25">
      <c r="A15" s="19" t="s">
        <v>51</v>
      </c>
      <c r="B15" s="20">
        <f>B13*B14</f>
        <v>11939515367.956932</v>
      </c>
      <c r="C15" s="20">
        <f>C13*C14</f>
        <v>11234421533.196138</v>
      </c>
      <c r="D15" s="20">
        <f>D13*D14</f>
        <v>10570967354.694086</v>
      </c>
      <c r="E15" s="20">
        <f>E13*E14</f>
        <v>9946693782.480583</v>
      </c>
      <c r="F15" s="20">
        <f>F13*F14</f>
        <v>9359286986.966682</v>
      </c>
    </row>
    <row r="17" spans="1:2" x14ac:dyDescent="0.25">
      <c r="A17" s="22" t="s">
        <v>52</v>
      </c>
      <c r="B17" s="23">
        <f>SUM(B15:F15)</f>
        <v>53050885025.29442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14413785768.811716</v>
      </c>
    </row>
    <row r="5" spans="1:2" x14ac:dyDescent="0.25">
      <c r="A5" t="s">
        <v>56</v>
      </c>
      <c r="B5" s="18">
        <f>IF(Assumptions!$B$33=0,B4,B4-Forecast!F11-Forecast!F10-Forecast!F12)</f>
        <v>15593005744.595089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0.1612185830962046</v>
      </c>
    </row>
    <row r="7" spans="1:2" x14ac:dyDescent="0.25">
      <c r="A7" t="s">
        <v>58</v>
      </c>
      <c r="B7" s="18">
        <f>-MAX(Forecast!F9,0)*B6</f>
        <v>-2513882292.354599</v>
      </c>
    </row>
    <row r="8" spans="1:2" x14ac:dyDescent="0.25">
      <c r="A8" t="s">
        <v>59</v>
      </c>
      <c r="B8" s="18">
        <f>IF(OR(Assumptions!$B$33=0,Assumptions!B12&lt;=0),B5,MAX(B5+B7,0))</f>
        <v>13079123452.24049</v>
      </c>
    </row>
    <row r="9" spans="1:2" x14ac:dyDescent="0.25">
      <c r="A9" t="s">
        <v>60</v>
      </c>
      <c r="B9" s="18">
        <f>B8*(1+Assumptions!B12)/(Assumptions!B26-Assumptions!B12)</f>
        <v>177062265301.4926</v>
      </c>
    </row>
    <row r="10" spans="1:2" x14ac:dyDescent="0.25">
      <c r="A10" t="s">
        <v>61</v>
      </c>
      <c r="B10" s="18">
        <f>B9/(1+Assumptions!B26)^(5-0.5*Assumptions!B32)</f>
        <v>114971637715.3926</v>
      </c>
    </row>
    <row r="11" spans="1:2" x14ac:dyDescent="0.25">
      <c r="A11" t="s">
        <v>62</v>
      </c>
      <c r="B11" s="18">
        <f>Forecast!B17+B10</f>
        <v>168022522740.687</v>
      </c>
    </row>
    <row r="12" spans="1:2" x14ac:dyDescent="0.25">
      <c r="A12" t="s">
        <v>63</v>
      </c>
      <c r="B12" s="18">
        <f>-Assumptions!B30</f>
        <v>-13615000000</v>
      </c>
    </row>
    <row r="13" spans="1:2" x14ac:dyDescent="0.25">
      <c r="A13" t="s">
        <v>64</v>
      </c>
      <c r="B13" s="18">
        <f>B11+B12</f>
        <v>154407522740.687</v>
      </c>
    </row>
    <row r="14" spans="1:2" x14ac:dyDescent="0.25">
      <c r="A14" s="19" t="s">
        <v>65</v>
      </c>
      <c r="B14" s="24">
        <f>B13/Assumptions!B31</f>
        <v>39.130137541988596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21792262111.843132</v>
      </c>
    </row>
    <row r="18" spans="1:2" x14ac:dyDescent="0.25">
      <c r="A18" t="s">
        <v>60</v>
      </c>
      <c r="B18" s="18">
        <f>B17*Assumptions!B13</f>
        <v>435845242236.8627</v>
      </c>
    </row>
    <row r="19" spans="1:2" x14ac:dyDescent="0.25">
      <c r="A19" t="s">
        <v>61</v>
      </c>
      <c r="B19" s="18">
        <f>B18/(1+Assumptions!B26)^(5-0.5*Assumptions!B32)</f>
        <v>283006891418.16644</v>
      </c>
    </row>
    <row r="20" spans="1:2" x14ac:dyDescent="0.25">
      <c r="A20" t="s">
        <v>62</v>
      </c>
      <c r="B20" s="18">
        <f>Forecast!B17+B19</f>
        <v>336057776443.4609</v>
      </c>
    </row>
    <row r="21" spans="1:2" x14ac:dyDescent="0.25">
      <c r="A21" t="s">
        <v>63</v>
      </c>
      <c r="B21" s="18">
        <f>-Assumptions!B30</f>
        <v>-13615000000</v>
      </c>
    </row>
    <row r="22" spans="1:2" x14ac:dyDescent="0.25">
      <c r="A22" t="s">
        <v>64</v>
      </c>
      <c r="B22" s="18">
        <f>B20+B21</f>
        <v>322442776443.4609</v>
      </c>
    </row>
    <row r="23" spans="1:2" x14ac:dyDescent="0.25">
      <c r="A23" s="19" t="s">
        <v>65</v>
      </c>
      <c r="B23" s="25">
        <f>B22/Assumptions!B31</f>
        <v>81.71383082703012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109.51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39.130137541988596</v>
      </c>
    </row>
    <row r="29" spans="1:2" x14ac:dyDescent="0.25">
      <c r="A29" s="19" t="s">
        <v>73</v>
      </c>
      <c r="B29" s="12">
        <f>B28/B26-1</f>
        <v>-0.642679777719034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0.080714</v>
      </c>
      <c r="B5" s="31">
        <v>49.47552401956888</v>
      </c>
      <c r="C5" s="31">
        <v>51.37501933133809</v>
      </c>
      <c r="D5" s="31">
        <v>53.599324394399204</v>
      </c>
      <c r="E5" s="31">
        <v>56.24451023981626</v>
      </c>
      <c r="F5" s="31">
        <v>59.44867923743956</v>
      </c>
    </row>
    <row r="6" spans="1:6" x14ac:dyDescent="0.25">
      <c r="A6" s="30">
        <v>0.090714</v>
      </c>
      <c r="B6" s="31">
        <v>42.66288292230311</v>
      </c>
      <c r="C6" s="31">
        <v>43.87922005363392</v>
      </c>
      <c r="D6" s="31">
        <v>45.26753497207111</v>
      </c>
      <c r="E6" s="31">
        <v>46.870316507317824</v>
      </c>
      <c r="F6" s="31">
        <v>48.74530596770127</v>
      </c>
    </row>
    <row r="7" spans="1:6" x14ac:dyDescent="0.25">
      <c r="A7" s="30">
        <v>0.100714</v>
      </c>
      <c r="B7" s="31">
        <v>37.439246018806465</v>
      </c>
      <c r="C7" s="31">
        <v>38.237456931394036</v>
      </c>
      <c r="D7" s="32">
        <v>39.13016518588512</v>
      </c>
      <c r="E7" s="31">
        <v>40.13741575397635</v>
      </c>
      <c r="F7" s="31">
        <v>41.285354277448775</v>
      </c>
    </row>
    <row r="8" spans="1:6" x14ac:dyDescent="0.25">
      <c r="A8" s="30">
        <v>0.110714</v>
      </c>
      <c r="B8" s="31">
        <v>33.306586169321704</v>
      </c>
      <c r="C8" s="31">
        <v>33.836735938699874</v>
      </c>
      <c r="D8" s="31">
        <v>34.419469361741584</v>
      </c>
      <c r="E8" s="31">
        <v>35.06455865646295</v>
      </c>
      <c r="F8" s="31">
        <v>35.784357391229065</v>
      </c>
    </row>
    <row r="9" spans="1:6" x14ac:dyDescent="0.25">
      <c r="A9" s="30">
        <v>0.120714</v>
      </c>
      <c r="B9" s="31">
        <v>29.955317886750077</v>
      </c>
      <c r="C9" s="31">
        <v>30.30751306757124</v>
      </c>
      <c r="D9" s="31">
        <v>30.688533814768853</v>
      </c>
      <c r="E9" s="31">
        <v>31.103146575590838</v>
      </c>
      <c r="F9" s="31">
        <v>31.55722997201686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63325000000</v>
      </c>
      <c r="C5" s="18">
        <v>56654000000</v>
      </c>
      <c r="D5" s="18">
        <v>53803000000</v>
      </c>
      <c r="E5" s="18">
        <v>56998000000</v>
      </c>
      <c r="F5" s="8" t="s">
        <v>84</v>
      </c>
    </row>
    <row r="6" spans="1:6" x14ac:dyDescent="0.25">
      <c r="A6" t="s">
        <v>44</v>
      </c>
      <c r="B6" s="18">
        <v>16061000000</v>
      </c>
      <c r="C6" s="18">
        <v>12504000000</v>
      </c>
      <c r="D6" s="18">
        <v>12970000000</v>
      </c>
      <c r="E6" s="18">
        <v>15562000000</v>
      </c>
      <c r="F6" s="8" t="s">
        <v>85</v>
      </c>
    </row>
    <row r="7" spans="1:6" x14ac:dyDescent="0.25">
      <c r="A7" t="s">
        <v>86</v>
      </c>
      <c r="B7" s="18">
        <v>2540000000</v>
      </c>
      <c r="C7" s="18">
        <v>2811000000</v>
      </c>
      <c r="D7" s="18">
        <v>2507000000</v>
      </c>
      <c r="E7" s="18">
        <v>1726000000</v>
      </c>
      <c r="F7" s="8" t="s">
        <v>87</v>
      </c>
    </row>
    <row r="8" spans="1:6" x14ac:dyDescent="0.25">
      <c r="A8" t="s">
        <v>88</v>
      </c>
      <c r="B8" s="18">
        <v>1410000000</v>
      </c>
      <c r="C8" s="18">
        <v>905000000</v>
      </c>
      <c r="D8" s="18">
        <v>670000000</v>
      </c>
      <c r="E8" s="18">
        <v>849000000</v>
      </c>
      <c r="F8" s="8" t="s">
        <v>89</v>
      </c>
    </row>
    <row r="9" spans="1:6" x14ac:dyDescent="0.25">
      <c r="A9" t="s">
        <v>90</v>
      </c>
      <c r="B9" s="18">
        <v>4351000000</v>
      </c>
      <c r="C9" s="18">
        <v>1292000000</v>
      </c>
      <c r="D9" s="18">
        <v>4298000000</v>
      </c>
      <c r="E9" s="18">
        <v>-5042000000</v>
      </c>
      <c r="F9" s="8" t="s">
        <v>91</v>
      </c>
    </row>
    <row r="10" spans="1:6" x14ac:dyDescent="0.25">
      <c r="A10" t="s">
        <v>92</v>
      </c>
      <c r="B10" s="18">
        <v>29533000000</v>
      </c>
      <c r="C10" s="18">
        <v>28093000000</v>
      </c>
      <c r="D10" s="18">
        <v>30973000000</v>
      </c>
      <c r="E10" s="18">
        <v>8391000000</v>
      </c>
      <c r="F10" s="8" t="s">
        <v>93</v>
      </c>
    </row>
    <row r="11" spans="1:6" x14ac:dyDescent="0.25">
      <c r="A11" t="s">
        <v>94</v>
      </c>
      <c r="B11" s="18">
        <v>15918000000</v>
      </c>
      <c r="C11" s="18">
        <v>16110000000</v>
      </c>
      <c r="D11" s="18">
        <v>17854000000</v>
      </c>
      <c r="E11" s="18">
        <v>26146000000</v>
      </c>
      <c r="F11" s="8" t="s">
        <v>95</v>
      </c>
    </row>
    <row r="12" spans="1:6" x14ac:dyDescent="0.25">
      <c r="A12" t="s">
        <v>32</v>
      </c>
      <c r="B12" s="34">
        <v>3946000000</v>
      </c>
      <c r="C12" s="34">
        <v>3998000000</v>
      </c>
      <c r="D12" s="34">
        <v>4062000000</v>
      </c>
      <c r="E12" s="34">
        <v>4105000000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