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<sst xmlns="http://schemas.openxmlformats.org/spreadsheetml/2006/main" count="121" uniqueCount="108">
  <si>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Cisco Systems, Inc. (CSCO)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</si>
  <si>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</si>
  <si>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</si>
  <si>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</si>
  <si>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</si>
  <si>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</si>
  <si>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</si>
  <si>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</si>
  <si>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</si>
  <si>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</si>
  <si>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</si>
  <si>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</si>
  <si>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</si>
  <si>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</si>
  <si>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</si>
  <si>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</si>
  <si>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</si>
  <si>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</si>
  <si>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</si>
  <si>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</si>
  <si>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</si>
  <si>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</si>
  <si>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</si>
  <si>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</si>
  <si>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10.9x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</si>
  <si>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</si>
  <si>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</si>
  <si>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</si>
  <si>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</si>
  <si>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</si>
  <si>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</si>
  <si>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</si>
  <si>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</si>
  <si>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</si>
  <si>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</si>
  <si>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</si>
  <si>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</si>
  <si>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</si>
  <si>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</si>
  <si>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</si>
  <si>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</si>
  <si>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</si>
  <si>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</si>
  <si>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</si>
  <si>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</si>
  <si>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</si>
  <si>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</si>
  <si>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</si>
  <si>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</si>
  <si>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</si>
  <si>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</si>
  <si>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</si>
  <si>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</si>
  <si>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</si>
  <si>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</si>
  <si>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</si>
  <si>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</si>
  <si>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</si>
  <si>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</si>
  <si>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</si>
  <si>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</si>
  <si>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</si>
  <si>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</si>
  <si>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</si>
  <si>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</si>
  <si>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</si>
  <si>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</si>
  <si>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</si>
  <si>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</si>
  <si>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</si>
  <si>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</si>
  <si>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</si>
  <si>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</si>
  <si>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</si>
  <si>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</si>
  <si>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</si>
  <si>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</si>
  <si>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</si>
  <si>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</si>
  <si>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</si>
  <si>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</si>
  <si>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</si>
  <si>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</si>
  <si>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</si>
  <si>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</si>
  <si>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</si>
  <si>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</si>
  <si>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</si>
  <si>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</si>
  <si>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</si>
  <si>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</si>
  <si>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</si>
  <si>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</si>
  <si>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</si>
  <si>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</si>
  <si>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</si>
  <si>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</si>
  <si>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</si>
  <si>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</si>
  <si>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</si>
  <si>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</si>
  <si>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</si>
  <si>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</si>
  <si>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</si>
  <si>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</si>
  <si>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Reported capital expenditure averages 1.64% of revenue against depreciation of 4.17%. A business cannot depreciate more than it invests indefinitely. Capex has been set to 4.17% of revenue so the forecast is not handed free growth. Override it if the reported figure is right.</t>
  </si>
  <si>
    <t>Current EV/EBITDA of 22.9x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</si>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</sst>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0.15551868993288598</v>
      </c>
    </row>
    <row r="7" spans="1:2" x14ac:dyDescent="0.25">
      <c r="A7" t="s">
        <v>4</v>
      </c>
      <c r="B7" s="5">
        <v>0.247107003915956</v>
      </c>
    </row>
    <row r="8" spans="1:2" x14ac:dyDescent="0.25">
      <c r="A8" t="s">
        <v>5</v>
      </c>
      <c r="B8" s="5">
        <v>0.16386394778979002</v>
      </c>
    </row>
    <row r="9" spans="1:2" x14ac:dyDescent="0.25">
      <c r="A9" t="s">
        <v>6</v>
      </c>
      <c r="B9" s="5">
        <v>0.04165129826619756</v>
      </c>
    </row>
    <row r="10" spans="1:3" x14ac:dyDescent="0.25">
      <c r="A10" t="s">
        <v>7</v>
      </c>
      <c r="B10" s="5">
        <v>0.04165129826619756</v>
      </c>
      <c r="C10" s="6" t="s">
        <v>8</v>
      </c>
    </row>
    <row r="11" spans="1:2" x14ac:dyDescent="0.25">
      <c r="A11" t="s">
        <v>9</v>
      </c>
      <c r="B11" s="5">
        <v>0.1368118882853641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0.15506897232238825</v>
      </c>
      <c r="C14" s="6" t="s">
        <v>13</v>
      </c>
    </row>
    <row r="15" spans="1:3" x14ac:dyDescent="0.25">
      <c r="A15" t="s">
        <v>14</v>
      </c>
      <c r="B15" s="5">
        <v>0.04165129826619756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0.98593</v>
      </c>
      <c r="C19" s="6" t="s">
        <v>21</v>
      </c>
    </row>
    <row r="20" spans="1:2" x14ac:dyDescent="0.25">
      <c r="A20" t="s">
        <v>22</v>
      </c>
      <c r="B20" s="9">
        <f>B17+B19*B18</f>
        <v>0.090644839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412039774208</v>
      </c>
    </row>
    <row r="23" spans="1:2" x14ac:dyDescent="0.25">
      <c r="A23" t="s">
        <v>26</v>
      </c>
      <c r="B23" s="10">
        <v>29533000000</v>
      </c>
    </row>
    <row r="24" spans="1:2" x14ac:dyDescent="0.25">
      <c r="A24" t="s">
        <v>27</v>
      </c>
      <c r="B24" s="9">
        <f>B22/(B22+B23)</f>
        <v>0.9331186120952089</v>
      </c>
    </row>
    <row r="25" spans="1:2" x14ac:dyDescent="0.25">
      <c r="A25" t="s">
        <v>28</v>
      </c>
      <c r="B25" s="9">
        <f>1-B24</f>
        <v>0.06688138790479115</v>
      </c>
    </row>
    <row r="26" spans="1:2" x14ac:dyDescent="0.25">
      <c r="A26" t="s">
        <v>29</v>
      </c>
      <c r="B26" s="11">
        <f>B24*B20+B25*B21*(1-B8)</f>
        <v>0.08754289384629446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63325000000</v>
      </c>
      <c r="C29" s="6" t="s">
        <v>32</v>
      </c>
    </row>
    <row r="30" spans="1:2" x14ac:dyDescent="0.25">
      <c r="A30" t="s">
        <v>33</v>
      </c>
      <c r="B30" s="10">
        <v>13615000000</v>
      </c>
    </row>
    <row r="31" spans="1:2" x14ac:dyDescent="0.25">
      <c r="A31" t="s">
        <v>34</v>
      </c>
      <c r="B31" s="12">
        <v>3946000000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0.15551868993288598</v>
      </c>
      <c r="C5" s="5">
        <v>0.06723647900248286</v>
      </c>
      <c r="D5" s="5">
        <v>0.06195691912717251</v>
      </c>
      <c r="E5" s="5">
        <v>0.056677359251862146</v>
      </c>
      <c r="F5" s="5">
        <v>0.05139779937655179</v>
      </c>
      <c r="G5" s="5">
        <v>0.04611823950124143</v>
      </c>
      <c r="H5" s="5">
        <v>0.040838679625931074</v>
      </c>
      <c r="I5" s="5">
        <v>0.03555911975062072</v>
      </c>
      <c r="J5" s="5">
        <v>0.030279559875310356</v>
      </c>
      <c r="K5" s="5">
        <v>0.025</v>
      </c>
    </row>
    <row r="6" spans="1:11" x14ac:dyDescent="0.25">
      <c r="A6" t="s">
        <v>50</v>
      </c>
      <c r="B6" s="18">
        <f>Assumptions!B29*(1+B5)</f>
        <v>73173221040</v>
      </c>
      <c r="C6" s="18">
        <f>B6*(1+C5)</f>
        <v>78093130780</v>
      </c>
      <c r="D6" s="18">
        <f>C6*(1+D5)</f>
        <v>82931540568.12416</v>
      </c>
      <c r="E6" s="18">
        <f>D6*(1+E5)</f>
        <v>87631881286.21411</v>
      </c>
      <c r="F6" s="18">
        <f>E6*(1+F5)</f>
        <v>92135967139.55275</v>
      </c>
      <c r="G6" s="18">
        <f>F6*(1+G5)</f>
        <v>96385115738.77315</v>
      </c>
      <c r="H6" s="18">
        <f>G6*(1+H5)</f>
        <v>100321356601.13719</v>
      </c>
      <c r="I6" s="18">
        <f>H6*(1+I5)</f>
        <v>103888695734.06175</v>
      </c>
      <c r="J6" s="18">
        <f>I6*(1+J5)</f>
        <v>107034399716.90916</v>
      </c>
      <c r="K6" s="18">
        <f>J6*(1+K5)</f>
        <v>109710259709.83188</v>
      </c>
    </row>
    <row r="7" spans="1:11" x14ac:dyDescent="0.25">
      <c r="A7" t="s">
        <v>4</v>
      </c>
      <c r="B7" s="9">
        <f>Assumptions!B7</f>
        <v>0.247107003915956</v>
      </c>
      <c r="C7" s="9">
        <f>Assumptions!B7</f>
        <v>0.247107003915956</v>
      </c>
      <c r="D7" s="9">
        <f>Assumptions!B7</f>
        <v>0.247107003915956</v>
      </c>
      <c r="E7" s="9">
        <f>Assumptions!B7</f>
        <v>0.247107003915956</v>
      </c>
      <c r="F7" s="9">
        <f>Assumptions!B7</f>
        <v>0.247107003915956</v>
      </c>
      <c r="G7" s="9">
        <f>Assumptions!B7</f>
        <v>0.247107003915956</v>
      </c>
      <c r="H7" s="9">
        <f>Assumptions!B7</f>
        <v>0.247107003915956</v>
      </c>
      <c r="I7" s="9">
        <f>Assumptions!B7</f>
        <v>0.247107003915956</v>
      </c>
      <c r="J7" s="9">
        <f>Assumptions!B7</f>
        <v>0.247107003915956</v>
      </c>
      <c r="K7" s="9">
        <f>Assumptions!B7</f>
        <v>0.247107003915956</v>
      </c>
    </row>
    <row r="8" spans="1:11" x14ac:dyDescent="0.25">
      <c r="A8" t="s">
        <v>51</v>
      </c>
      <c r="B8" s="18">
        <f>B6*B7</f>
        <v>18081615418.074394</v>
      </c>
      <c r="C8" s="18">
        <f>C6*C7</f>
        <v>19297359573.462723</v>
      </c>
      <c r="D8" s="18">
        <f>D6*D7</f>
        <v>20492964519.92372</v>
      </c>
      <c r="E8" s="18">
        <f>E6*E7</f>
        <v>21654451632.1551</v>
      </c>
      <c r="F8" s="18">
        <f>F6*F7</f>
        <v>22767442792.753853</v>
      </c>
      <c r="G8" s="18">
        <f>G6*G7</f>
        <v>23817437172.300888</v>
      </c>
      <c r="H8" s="18">
        <f>H6*H7</f>
        <v>24790109858.491226</v>
      </c>
      <c r="I8" s="18">
        <f>I6*I7</f>
        <v>25671624343.58036</v>
      </c>
      <c r="J8" s="18">
        <f>J6*J7</f>
        <v>26448949829.988274</v>
      </c>
      <c r="K8" s="18">
        <f>K6*K7</f>
        <v>27110173575.737976</v>
      </c>
    </row>
    <row r="9" spans="1:11" x14ac:dyDescent="0.25">
      <c r="A9" t="s">
        <v>52</v>
      </c>
      <c r="B9" s="18">
        <f>B8*(1-Assumptions!B8)</f>
        <v>15118690533.25199</v>
      </c>
      <c r="C9" s="18">
        <f>C8*(1-Assumptions!B8)</f>
        <v>16135218051.836021</v>
      </c>
      <c r="D9" s="18">
        <f>D8*(1-Assumptions!B8)</f>
        <v>17134906451.77292</v>
      </c>
      <c r="E9" s="18">
        <f>E8*(1-Assumptions!B8)</f>
        <v>18106067700.487103</v>
      </c>
      <c r="F9" s="18">
        <f>F8*(1-Assumptions!B8)</f>
        <v>19036679735.655003</v>
      </c>
      <c r="G9" s="18">
        <f>G8*(1-Assumptions!B8)</f>
        <v>19914617891.01237</v>
      </c>
      <c r="H9" s="18">
        <f>H8*(1-Assumptions!B8)</f>
        <v>20727904590.93626</v>
      </c>
      <c r="I9" s="18">
        <f>I8*(1-Assumptions!B8)</f>
        <v>21464970632.464806</v>
      </c>
      <c r="J9" s="18">
        <f>J8*(1-Assumptions!B8)</f>
        <v>22114920495.952297</v>
      </c>
      <c r="K9" s="18">
        <f>K8*(1-Assumptions!B8)</f>
        <v>22667793508.3511</v>
      </c>
    </row>
    <row r="10" spans="1:11" x14ac:dyDescent="0.25">
      <c r="A10" t="s">
        <v>53</v>
      </c>
      <c r="B10" s="18">
        <f>B6*Assumptions!B9</f>
        <v>3047759654.6354427</v>
      </c>
      <c r="C10" s="18">
        <f>C6*Assumptions!B9</f>
        <v>3252680282.658953</v>
      </c>
      <c r="D10" s="18">
        <f>D6*Assumptions!B9</f>
        <v>3454206331.8782024</v>
      </c>
      <c r="E10" s="18">
        <f>E6*Assumptions!B9</f>
        <v>3649981625.08012</v>
      </c>
      <c r="F10" s="18">
        <f>F6*Assumptions!B9</f>
        <v>3837582648.374089</v>
      </c>
      <c r="G10" s="18">
        <f>G6*Assumptions!B9</f>
        <v>4014565204.0576134</v>
      </c>
      <c r="H10" s="18">
        <f>H6*Assumptions!B9</f>
        <v>4178514746.2635326</v>
      </c>
      <c r="I10" s="18">
        <f>I6*Assumptions!B9</f>
        <v>4327099052.505652</v>
      </c>
      <c r="J10" s="18">
        <f>J6*Assumptions!B9</f>
        <v>4458121707.352395</v>
      </c>
      <c r="K10" s="18">
        <f>K6*Assumptions!B9</f>
        <v>4569574750.036204</v>
      </c>
    </row>
    <row r="11" spans="1:11" x14ac:dyDescent="0.25">
      <c r="A11" t="s">
        <v>54</v>
      </c>
      <c r="B11" s="18">
        <f>-B6*B19</f>
        <v>-3047759654.6354427</v>
      </c>
      <c r="C11" s="18">
        <f>-C6*C19</f>
        <v>-3541713281.799543</v>
      </c>
      <c r="D11" s="18">
        <f>-D6*D19</f>
        <v>-4068087518.465057</v>
      </c>
      <c r="E11" s="18">
        <f>-E6*E19</f>
        <v>-4622993151.785616</v>
      </c>
      <c r="F11" s="18">
        <f>-F6*F19</f>
        <v>-5201612218.968991</v>
      </c>
      <c r="G11" s="18">
        <f>-G6*G19</f>
        <v>-5798235470.330581</v>
      </c>
      <c r="H11" s="18">
        <f>-H6*H19</f>
        <v>-6406330352.066237</v>
      </c>
      <c r="I11" s="18">
        <f>-I6*I19</f>
        <v>-7018639614.836021</v>
      </c>
      <c r="J11" s="18">
        <f>-J6*J19</f>
        <v>-7627309394.145857</v>
      </c>
      <c r="K11" s="18">
        <f>-K6*K19</f>
        <v>-8224044301.369914</v>
      </c>
    </row>
    <row r="12" spans="1:11" x14ac:dyDescent="0.25">
      <c r="A12" t="s">
        <v>55</v>
      </c>
      <c r="B12" s="18">
        <f>-(B6-Assumptions!B29)*Assumptions!B11</f>
        <v>-1347353716.7340524</v>
      </c>
      <c r="C12" s="18">
        <f>-(C6-B6)*Assumptions!B11</f>
        <v>-673102141.7229548</v>
      </c>
      <c r="D12" s="18">
        <f>-(D6-C6)*Assumptions!B11</f>
        <v>-661951979.411655</v>
      </c>
      <c r="E12" s="18">
        <f>-(E6-D6)*Assumptions!B11</f>
        <v>-643062489.2264705</v>
      </c>
      <c r="F12" s="18">
        <f>-(F6-E6)*Assumptions!B11</f>
        <v>-616212490.5946547</v>
      </c>
      <c r="G12" s="18">
        <f>-(G6-F6)*Assumptions!B11</f>
        <v>-581334043.4644525</v>
      </c>
      <c r="H12" s="18">
        <f>-(H6-G6)*Assumptions!B11</f>
        <v>-538524545.1260349</v>
      </c>
      <c r="I12" s="18">
        <f>-(I6-H6)*Assumptions!B11</f>
        <v>-488054402.9296827</v>
      </c>
      <c r="J12" s="18">
        <f>-(J6-I6)*Assumptions!B11</f>
        <v>-430369701.8801451</v>
      </c>
      <c r="K12" s="18">
        <f>-(K6-J6)*Assumptions!B11</f>
        <v>-366089458.4190176</v>
      </c>
    </row>
    <row r="13" spans="1:11" x14ac:dyDescent="0.25">
      <c r="A13" s="19" t="s">
        <v>56</v>
      </c>
      <c r="B13" s="20">
        <f>B9+B10+B11+B12</f>
        <v>13771336816.517937</v>
      </c>
      <c r="C13" s="20">
        <f>C9+C10+C11+C12</f>
        <v>15173082910.972477</v>
      </c>
      <c r="D13" s="20">
        <f>D9+D10+D11+D12</f>
        <v>15859073285.77441</v>
      </c>
      <c r="E13" s="20">
        <f>E9+E10+E11+E12</f>
        <v>16489993684.555136</v>
      </c>
      <c r="F13" s="20">
        <f>F9+F10+F11+F12</f>
        <v>17056437674.465446</v>
      </c>
      <c r="G13" s="20">
        <f>G9+G10+G11+G12</f>
        <v>17549613581.274952</v>
      </c>
      <c r="H13" s="20">
        <f>H9+H10+H11+H12</f>
        <v>17961564440.00752</v>
      </c>
      <c r="I13" s="20">
        <f>I9+I10+I11+I12</f>
        <v>18285375667.204754</v>
      </c>
      <c r="J13" s="20">
        <f>J9+J10+J11+J12</f>
        <v>18515363107.27869</v>
      </c>
      <c r="K13" s="20">
        <f>K9+K10+K11+K12</f>
        <v>18647234498.598373</v>
      </c>
    </row>
    <row r="14" spans="1:11" x14ac:dyDescent="0.25">
      <c r="A14" t="s">
        <v>57</v>
      </c>
      <c r="B14" s="21">
        <f>1/(1+Assumptions!$B$26)^(1-0.5*Assumptions!$B$32)</f>
        <v>0.9589076922426816</v>
      </c>
      <c r="C14" s="21">
        <f>1/(1+Assumptions!$B$26)^(2-0.5*Assumptions!$B$32)</f>
        <v>0.8817194224416556</v>
      </c>
      <c r="D14" s="21">
        <f>1/(1+Assumptions!$B$26)^(3-0.5*Assumptions!$B$32)</f>
        <v>0.8107445025209934</v>
      </c>
      <c r="E14" s="21">
        <f>1/(1+Assumptions!$B$26)^(4-0.5*Assumptions!$B$32)</f>
        <v>0.7454827824341227</v>
      </c>
      <c r="F14" s="21">
        <f>1/(1+Assumptions!$B$26)^(5-0.5*Assumptions!$B$32)</f>
        <v>0.6854743722315046</v>
      </c>
      <c r="G14" s="21">
        <f>1/(1+Assumptions!$B$26)^(6-0.5*Assumptions!$B$32)</f>
        <v>0.630296401282343</v>
      </c>
      <c r="H14" s="21">
        <f>1/(1+Assumptions!$B$26)^(7-0.5*Assumptions!$B$32)</f>
        <v>0.5795600383661047</v>
      </c>
      <c r="I14" s="21">
        <f>1/(1+Assumptions!$B$26)^(8-0.5*Assumptions!$B$32)</f>
        <v>0.5329077516348661</v>
      </c>
      <c r="J14" s="21">
        <f>1/(1+Assumptions!$B$26)^(9-0.5*Assumptions!$B$32)</f>
        <v>0.4900107891378337</v>
      </c>
      <c r="K14" s="21">
        <f>1/(1+Assumptions!$B$26)^(10-0.5*Assumptions!$B$32)</f>
        <v>0.450566862153658</v>
      </c>
    </row>
    <row r="15" spans="1:11" x14ac:dyDescent="0.25">
      <c r="A15" s="19" t="s">
        <v>58</v>
      </c>
      <c r="B15" s="20">
        <f>B13*B14</f>
        <v>13205440805.823893</v>
      </c>
      <c r="C15" s="20">
        <f>C13*C14</f>
        <v>13378401900.922007</v>
      </c>
      <c r="D15" s="20">
        <f>D13*D14</f>
        <v>12857656481.51915</v>
      </c>
      <c r="E15" s="20">
        <f>E13*E14</f>
        <v>12293006374.283274</v>
      </c>
      <c r="F15" s="20">
        <f>F13*F14</f>
        <v>11691750907.409986</v>
      </c>
      <c r="G15" s="20">
        <f>G13*G14</f>
        <v>11061458284.173334</v>
      </c>
      <c r="H15" s="20">
        <f>H13*H14</f>
        <v>10409804975.966019</v>
      </c>
      <c r="I15" s="20">
        <f>I13*I14</f>
        <v>9744418434.608976</v>
      </c>
      <c r="J15" s="20">
        <f>J13*J14</f>
        <v>9072727687.371164</v>
      </c>
      <c r="K15" s="20">
        <f>K13*K14</f>
        <v>8401825935.876909</v>
      </c>
    </row>
    <row r="17" spans="1:2" x14ac:dyDescent="0.25">
      <c r="A17" s="22" t="s">
        <v>59</v>
      </c>
      <c r="B17" s="23">
        <f>SUM(B15:K15)</f>
        <v>112116491787.95471</v>
      </c>
    </row>
    <row r="19" spans="1:11" x14ac:dyDescent="0.25">
      <c r="A19" t="s">
        <v>7</v>
      </c>
      <c r="B19" s="9">
        <f>Assumptions!$B$10+($B$20-Assumptions!$B$10)*0/9</f>
        <v>0.04165129826619756</v>
      </c>
      <c r="C19" s="9">
        <f>Assumptions!$B$10+($B$20-Assumptions!$B$10)*1/9</f>
        <v>0.045352430443300805</v>
      </c>
      <c r="D19" s="9">
        <f>Assumptions!$B$10+($B$20-Assumptions!$B$10)*2/9</f>
        <v>0.04905356262040404</v>
      </c>
      <c r="E19" s="9">
        <f>Assumptions!$B$10+($B$20-Assumptions!$B$10)*3/9</f>
        <v>0.05275469479750729</v>
      </c>
      <c r="F19" s="9">
        <f>Assumptions!$B$10+($B$20-Assumptions!$B$10)*4/9</f>
        <v>0.05645582697461053</v>
      </c>
      <c r="G19" s="9">
        <f>Assumptions!$B$10+($B$20-Assumptions!$B$10)*5/9</f>
        <v>0.060156959151713776</v>
      </c>
      <c r="H19" s="9">
        <f>Assumptions!$B$10+($B$20-Assumptions!$B$10)*6/9</f>
        <v>0.06385809132881701</v>
      </c>
      <c r="I19" s="9">
        <f>Assumptions!$B$10+($B$20-Assumptions!$B$10)*7/9</f>
        <v>0.06755922350592025</v>
      </c>
      <c r="J19" s="9">
        <f>Assumptions!$B$10+($B$20-Assumptions!$B$10)*8/9</f>
        <v>0.0712603556830235</v>
      </c>
      <c r="K19" s="9">
        <f>Assumptions!$B$10+($B$20-Assumptions!$B$10)*9/9</f>
        <v>0.07496148786012674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0.07496148786012674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18647234498.598373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22667793508.3511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0.1612185830962046</v>
      </c>
    </row>
    <row r="7" spans="1:2" x14ac:dyDescent="0.25">
      <c r="A7" t="s">
        <v>66</v>
      </c>
      <c r="B7" s="18">
        <f>-MAX(B5,0)*B6</f>
        <v>-3654469551.3337092</v>
      </c>
    </row>
    <row r="8" spans="1:2" x14ac:dyDescent="0.25">
      <c r="A8" t="s">
        <v>67</v>
      </c>
      <c r="B8" s="18">
        <f>IF(OR(Assumptions!$B$33=0,Assumptions!B12&lt;=0),B5,MAX(B5+B7,0))</f>
        <v>19013323957.01739</v>
      </c>
    </row>
    <row r="9" spans="1:2" x14ac:dyDescent="0.25">
      <c r="A9" t="s">
        <v>68</v>
      </c>
      <c r="B9" s="18">
        <f>B8*(1+Assumptions!B12)/(Assumptions!B26-Assumptions!B12)</f>
        <v>311604658138.1121</v>
      </c>
    </row>
    <row r="10" spans="1:2" x14ac:dyDescent="0.25">
      <c r="A10" t="s">
        <v>69</v>
      </c>
      <c r="B10" s="18">
        <f>B9/(1+Assumptions!B26)^(10-0.5*Assumptions!B32)</f>
        <v>140398733049.75247</v>
      </c>
    </row>
    <row r="11" spans="1:2" x14ac:dyDescent="0.25">
      <c r="A11" t="s">
        <v>70</v>
      </c>
      <c r="B11" s="18">
        <f>Forecast!B17+B10</f>
        <v>252515224837.70718</v>
      </c>
    </row>
    <row r="12" spans="1:2" x14ac:dyDescent="0.25">
      <c r="A12" t="s">
        <v>71</v>
      </c>
      <c r="B12" s="18">
        <f>-Assumptions!B30</f>
        <v>-13615000000</v>
      </c>
    </row>
    <row r="13" spans="1:2" x14ac:dyDescent="0.25">
      <c r="A13" t="s">
        <v>72</v>
      </c>
      <c r="B13" s="18">
        <f>B11+B12</f>
        <v>238900224837.70718</v>
      </c>
    </row>
    <row r="14" spans="1:2" x14ac:dyDescent="0.25">
      <c r="A14" s="19" t="s">
        <v>73</v>
      </c>
      <c r="B14" s="24">
        <f>B13/Assumptions!B31</f>
        <v>60.542378316702276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31679748325.77418</v>
      </c>
    </row>
    <row r="18" spans="1:2" x14ac:dyDescent="0.25">
      <c r="A18" t="s">
        <v>68</v>
      </c>
      <c r="B18" s="18">
        <f>B17*Assumptions!B13</f>
        <v>633594966515.4836</v>
      </c>
    </row>
    <row r="19" spans="1:2" x14ac:dyDescent="0.25">
      <c r="A19" t="s">
        <v>69</v>
      </c>
      <c r="B19" s="18">
        <f>B18/(1+Assumptions!B26)^(10-0.5*Assumptions!B32)</f>
        <v>285476895939.23346</v>
      </c>
    </row>
    <row r="20" spans="1:2" x14ac:dyDescent="0.25">
      <c r="A20" t="s">
        <v>70</v>
      </c>
      <c r="B20" s="18">
        <f>Forecast!B17+B19</f>
        <v>397593387727.1882</v>
      </c>
    </row>
    <row r="21" spans="1:2" x14ac:dyDescent="0.25">
      <c r="A21" t="s">
        <v>71</v>
      </c>
      <c r="B21" s="18">
        <f>-Assumptions!B30</f>
        <v>-13615000000</v>
      </c>
    </row>
    <row r="22" spans="1:2" x14ac:dyDescent="0.25">
      <c r="A22" t="s">
        <v>72</v>
      </c>
      <c r="B22" s="18">
        <f>B20+B21</f>
        <v>383978387727.1882</v>
      </c>
    </row>
    <row r="23" spans="1:2" x14ac:dyDescent="0.25">
      <c r="A23" s="19" t="s">
        <v>73</v>
      </c>
      <c r="B23" s="25">
        <f>B22/Assumptions!B31</f>
        <v>97.30825842047344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104.51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60.542378316702276</v>
      </c>
    </row>
    <row r="29" spans="1:2" x14ac:dyDescent="0.25">
      <c r="A29" s="19" t="s">
        <v>81</v>
      </c>
      <c r="B29" s="11">
        <f>B28/B26-1</f>
        <v>-0.4207025326121685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0.067543</v>
      </c>
      <c r="B5" s="31">
        <v>82.4800245557676</v>
      </c>
      <c r="C5" s="31">
        <v>85.76046200742115</v>
      </c>
      <c r="D5" s="31">
        <v>89.9161430525432</v>
      </c>
      <c r="E5" s="31">
        <v>95.29676414325614</v>
      </c>
      <c r="F5" s="31">
        <v>102.4669352013208</v>
      </c>
    </row>
    <row r="6" spans="1:6" x14ac:dyDescent="0.25">
      <c r="A6" s="30">
        <v>0.077543</v>
      </c>
      <c r="B6" s="31">
        <v>68.64048374113874</v>
      </c>
      <c r="C6" s="31">
        <v>70.33655115772437</v>
      </c>
      <c r="D6" s="31">
        <v>72.43511703583663</v>
      </c>
      <c r="E6" s="31">
        <v>75.06317119359595</v>
      </c>
      <c r="F6" s="31">
        <v>78.40740296167264</v>
      </c>
    </row>
    <row r="7" spans="1:6" x14ac:dyDescent="0.25">
      <c r="A7" s="30">
        <v>0.087543</v>
      </c>
      <c r="B7" s="31">
        <v>58.632875745603876</v>
      </c>
      <c r="C7" s="31">
        <v>59.48757656791534</v>
      </c>
      <c r="D7" s="32">
        <v>60.54227224540467</v>
      </c>
      <c r="E7" s="31">
        <v>61.84909636213369</v>
      </c>
      <c r="F7" s="31">
        <v>63.48002666182842</v>
      </c>
    </row>
    <row r="8" spans="1:6" x14ac:dyDescent="0.25">
      <c r="A8" s="30">
        <v>0.097543</v>
      </c>
      <c r="B8" s="31">
        <v>51.06337140040656</v>
      </c>
      <c r="C8" s="31">
        <v>51.44302139307788</v>
      </c>
      <c r="D8" s="31">
        <v>51.926701660296914</v>
      </c>
      <c r="E8" s="31">
        <v>52.53751532330813</v>
      </c>
      <c r="F8" s="31">
        <v>53.305953419268114</v>
      </c>
    </row>
    <row r="9" spans="1:6" x14ac:dyDescent="0.25">
      <c r="A9" s="30">
        <v>0.107543</v>
      </c>
      <c r="B9" s="31">
        <v>45.1406886106557</v>
      </c>
      <c r="C9" s="31">
        <v>45.241396512294706</v>
      </c>
      <c r="D9" s="31">
        <v>45.397352591130485</v>
      </c>
      <c r="E9" s="31">
        <v>45.61924411304073</v>
      </c>
      <c r="F9" s="31">
        <v>45.92070480762189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63325000000</v>
      </c>
      <c r="C5" s="18">
        <v>56654000000</v>
      </c>
      <c r="D5" s="18">
        <v>53803000000</v>
      </c>
      <c r="E5" s="18">
        <v>56998000000</v>
      </c>
      <c r="F5" s="6" t="s">
        <v>91</v>
      </c>
    </row>
    <row r="6" spans="1:6" x14ac:dyDescent="0.25">
      <c r="A6" t="s">
        <v>51</v>
      </c>
      <c r="B6" s="18">
        <v>16061000000</v>
      </c>
      <c r="C6" s="18">
        <v>12504000000</v>
      </c>
      <c r="D6" s="18">
        <v>12970000000</v>
      </c>
      <c r="E6" s="18">
        <v>15562000000</v>
      </c>
      <c r="F6" s="6" t="s">
        <v>92</v>
      </c>
    </row>
    <row r="7" spans="1:6" x14ac:dyDescent="0.25">
      <c r="A7" t="s">
        <v>93</v>
      </c>
      <c r="B7" s="18">
        <v>2540000000</v>
      </c>
      <c r="C7" s="18">
        <v>2811000000</v>
      </c>
      <c r="D7" s="18">
        <v>2507000000</v>
      </c>
      <c r="E7" s="18">
        <v>1726000000</v>
      </c>
      <c r="F7" s="6" t="s">
        <v>94</v>
      </c>
    </row>
    <row r="8" spans="1:6" x14ac:dyDescent="0.25">
      <c r="A8" t="s">
        <v>95</v>
      </c>
      <c r="B8" s="18">
        <v>1410000000</v>
      </c>
      <c r="C8" s="18">
        <v>905000000</v>
      </c>
      <c r="D8" s="18">
        <v>670000000</v>
      </c>
      <c r="E8" s="18">
        <v>849000000</v>
      </c>
      <c r="F8" s="6" t="s">
        <v>96</v>
      </c>
    </row>
    <row r="9" spans="1:6" x14ac:dyDescent="0.25">
      <c r="A9" t="s">
        <v>97</v>
      </c>
      <c r="B9" s="18">
        <v>4351000000</v>
      </c>
      <c r="C9" s="18">
        <v>1292000000</v>
      </c>
      <c r="D9" s="18">
        <v>4298000000</v>
      </c>
      <c r="E9" s="18">
        <v>-5042000000</v>
      </c>
      <c r="F9" s="6" t="s">
        <v>98</v>
      </c>
    </row>
    <row r="10" spans="1:6" x14ac:dyDescent="0.25">
      <c r="A10" t="s">
        <v>99</v>
      </c>
      <c r="B10" s="18">
        <v>29533000000</v>
      </c>
      <c r="C10" s="18">
        <v>28093000000</v>
      </c>
      <c r="D10" s="18">
        <v>30973000000</v>
      </c>
      <c r="E10" s="18">
        <v>8391000000</v>
      </c>
      <c r="F10" s="6" t="s">
        <v>100</v>
      </c>
    </row>
    <row r="11" spans="1:6" x14ac:dyDescent="0.25">
      <c r="A11" t="s">
        <v>101</v>
      </c>
      <c r="B11" s="18">
        <v>15918000000</v>
      </c>
      <c r="C11" s="18">
        <v>16110000000</v>
      </c>
      <c r="D11" s="18">
        <v>17854000000</v>
      </c>
      <c r="E11" s="18">
        <v>26146000000</v>
      </c>
      <c r="F11" s="6" t="s">
        <v>102</v>
      </c>
    </row>
    <row r="12" spans="1:6" x14ac:dyDescent="0.25">
      <c r="A12" t="s">
        <v>34</v>
      </c>
      <c r="B12" s="34">
        <v>3946000000</v>
      </c>
      <c r="C12" s="34">
        <v>3998000000</v>
      </c>
      <c r="D12" s="34">
        <v>4062000000</v>
      </c>
      <c r="E12" s="34">
        <v>4105000000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