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<sst xmlns="http://schemas.openxmlformats.org/spreadsheetml/2006/main" count="114" uniqueCount="102">
  <si>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CoStar Group, Inc. (CSGP)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</si>
  <si>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</si>
  <si>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</si>
  <si>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</si>
  <si>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</si>
  <si>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</si>
  <si>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</si>
  <si>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</si>
  <si>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</si>
  <si>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</si>
  <si>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</si>
  <si>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</si>
  <si>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</si>
  <si>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</si>
  <si>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</si>
  <si>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</si>
  <si>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</si>
  <si>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</si>
  <si>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</si>
  <si>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</si>
  <si>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</si>
  <si>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</si>
  <si>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</si>
  <si>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</si>
  <si>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</si>
  <si>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</si>
  <si>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</si>
  <si>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</si>
  <si>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</si>
  <si>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</si>
  <si>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</si>
  <si>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</si>
  <si>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</si>
  <si>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</si>
  <si>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</si>
  <si>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</si>
  <si>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</si>
  <si>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</si>
  <si>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</si>
  <si>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</si>
  <si>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</si>
  <si>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</si>
  <si>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</si>
  <si>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</si>
  <si>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</si>
  <si>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</si>
  <si>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</si>
  <si>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</si>
  <si>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</si>
  <si>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</si>
  <si>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</si>
  <si>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</si>
  <si>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</si>
  <si>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</si>
  <si>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</si>
  <si>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</si>
  <si>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</si>
  <si>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</si>
  <si>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</si>
  <si>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</si>
  <si>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</si>
  <si>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</si>
  <si>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</si>
  <si>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</si>
  <si>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</si>
  <si>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</si>
  <si>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</si>
  <si>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</si>
  <si>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</si>
  <si>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</si>
  <si>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</si>
  <si>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</si>
  <si>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</si>
  <si>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</si>
  <si>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</si>
  <si>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</si>
  <si>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</si>
  <si>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</si>
  <si>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</si>
  <si>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</si>
  <si>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</si>
  <si>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</si>
  <si>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</si>
  <si>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</si>
  <si>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</si>
  <si>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</si>
  <si>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</si>
  <si>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</si>
  <si>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</si>
  <si>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</si>
  <si>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</si>
  <si>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</si>
  <si>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</si>
  <si>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</si>
  <si>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</si>
  <si>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</si>
  <si>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</si>
  <si>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</si>
  <si>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</si>
  <si>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11.4% of revenue against depreciation of 6.0%. A perpetuity has to be a steady state, so the terminal year uses maintenance capex at depreciation and then charges the reinvestment terminal growth requires (g/ROIC of NOPAT). The bridge is shown under Terminal Value.</t>
  </si>
  <si>
    <t>Current EV/EBITDA of 59.4x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</si>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</sst>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0.14160530575519847</v>
      </c>
    </row>
    <row r="7" spans="1:2" x14ac:dyDescent="0.25">
      <c r="A7" t="s">
        <v>5</v>
      </c>
      <c r="B7" s="6">
        <v>0.07529350338560818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0.060476271103828375</v>
      </c>
    </row>
    <row r="10" spans="1:2" x14ac:dyDescent="0.25">
      <c r="A10" t="s">
        <v>8</v>
      </c>
      <c r="B10" s="6">
        <v>0.11355467681664737</v>
      </c>
    </row>
    <row r="11" spans="1:2" x14ac:dyDescent="0.25">
      <c r="A11" t="s">
        <v>9</v>
      </c>
      <c r="B11" s="6">
        <v>0.5244618395303327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0.09197175960431939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0.83049</v>
      </c>
      <c r="C19" s="8" t="s">
        <v>19</v>
      </c>
    </row>
    <row r="20" spans="1:2" x14ac:dyDescent="0.25">
      <c r="A20" t="s">
        <v>20</v>
      </c>
      <c r="B20" s="10">
        <f>B17+B19*B18</f>
        <v>0.09565695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11787198464</v>
      </c>
    </row>
    <row r="23" spans="1:2" x14ac:dyDescent="0.25">
      <c r="A23" t="s">
        <v>24</v>
      </c>
      <c r="B23" s="11">
        <v>1184000000</v>
      </c>
    </row>
    <row r="24" spans="1:2" x14ac:dyDescent="0.25">
      <c r="A24" t="s">
        <v>25</v>
      </c>
      <c r="B24" s="10">
        <f>B22/(B22+B23)</f>
        <v>0.9087208477084019</v>
      </c>
    </row>
    <row r="25" spans="1:2" x14ac:dyDescent="0.25">
      <c r="A25" t="s">
        <v>26</v>
      </c>
      <c r="B25" s="10">
        <f>1-B24</f>
        <v>0.09127915229159811</v>
      </c>
    </row>
    <row r="26" spans="1:2" x14ac:dyDescent="0.25">
      <c r="A26" t="s">
        <v>27</v>
      </c>
      <c r="B26" s="12">
        <f>B24*B20+B25*B21*(1-B8)</f>
        <v>0.09197175960431939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3247000000</v>
      </c>
      <c r="C29" s="8" t="s">
        <v>30</v>
      </c>
    </row>
    <row r="30" spans="1:2" x14ac:dyDescent="0.25">
      <c r="A30" t="s">
        <v>31</v>
      </c>
      <c r="B30" s="11">
        <v>-449000000</v>
      </c>
    </row>
    <row r="31" spans="1:2" x14ac:dyDescent="0.25">
      <c r="A31" t="s">
        <v>32</v>
      </c>
      <c r="B31" s="13">
        <v>420700000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0.14160530575519847</v>
      </c>
      <c r="C5" s="10">
        <f>Assumptions!B6</f>
        <v>0.14160530575519847</v>
      </c>
      <c r="D5" s="10">
        <f>Assumptions!B6</f>
        <v>0.14160530575519847</v>
      </c>
      <c r="E5" s="10">
        <f>Assumptions!B6</f>
        <v>0.14160530575519847</v>
      </c>
      <c r="F5" s="10">
        <f>Assumptions!B6</f>
        <v>0.14160530575519847</v>
      </c>
    </row>
    <row r="6" spans="1:6" x14ac:dyDescent="0.25">
      <c r="A6" t="s">
        <v>43</v>
      </c>
      <c r="B6" s="18">
        <f>Assumptions!B29*(1+B5)</f>
        <v>3706792427.7871294</v>
      </c>
      <c r="C6" s="18">
        <f>B6*(1+C5)</f>
        <v>4231693902.8949804</v>
      </c>
      <c r="D6" s="18">
        <f>C6*(1+D5)</f>
        <v>4830924211.876833</v>
      </c>
      <c r="E6" s="18">
        <f>D6*(1+E5)</f>
        <v>5515008711.979843</v>
      </c>
      <c r="F6" s="18">
        <f>E6*(1+F5)</f>
        <v>6295963206.882332</v>
      </c>
    </row>
    <row r="7" spans="1:6" x14ac:dyDescent="0.25">
      <c r="A7" t="s">
        <v>5</v>
      </c>
      <c r="B7" s="10">
        <f>Assumptions!B7</f>
        <v>0.07529350338560818</v>
      </c>
      <c r="C7" s="10">
        <f>Assumptions!B7</f>
        <v>0.07529350338560818</v>
      </c>
      <c r="D7" s="10">
        <f>Assumptions!B7</f>
        <v>0.07529350338560818</v>
      </c>
      <c r="E7" s="10">
        <f>Assumptions!B7</f>
        <v>0.07529350338560818</v>
      </c>
      <c r="F7" s="10">
        <f>Assumptions!B7</f>
        <v>0.07529350338560818</v>
      </c>
    </row>
    <row r="8" spans="1:6" x14ac:dyDescent="0.25">
      <c r="A8" t="s">
        <v>44</v>
      </c>
      <c r="B8" s="18">
        <f>B6*B7</f>
        <v>279097388.21133703</v>
      </c>
      <c r="C8" s="18">
        <f>C6*C7</f>
        <v>318619059.2044807</v>
      </c>
      <c r="D8" s="18">
        <f>D6*D7</f>
        <v>363737208.50256485</v>
      </c>
      <c r="E8" s="18">
        <f>E6*E7</f>
        <v>415244327.1271129</v>
      </c>
      <c r="F8" s="18">
        <f>F6*F7</f>
        <v>474045127.0330594</v>
      </c>
    </row>
    <row r="9" spans="1:6" x14ac:dyDescent="0.25">
      <c r="A9" t="s">
        <v>45</v>
      </c>
      <c r="B9" s="18">
        <f>B8*(1-Assumptions!B8)</f>
        <v>220486936.68695626</v>
      </c>
      <c r="C9" s="18">
        <f>C8*(1-Assumptions!B8)</f>
        <v>251709056.77153978</v>
      </c>
      <c r="D9" s="18">
        <f>D8*(1-Assumptions!B8)</f>
        <v>287352394.71702623</v>
      </c>
      <c r="E9" s="18">
        <f>E8*(1-Assumptions!B8)</f>
        <v>328043018.4304192</v>
      </c>
      <c r="F9" s="18">
        <f>F8*(1-Assumptions!B8)</f>
        <v>374495650.35611695</v>
      </c>
    </row>
    <row r="10" spans="1:6" x14ac:dyDescent="0.25">
      <c r="A10" t="s">
        <v>46</v>
      </c>
      <c r="B10" s="18">
        <f>B6*Assumptions!B9</f>
        <v>224172983.7884726</v>
      </c>
      <c r="C10" s="18">
        <f>C6*Assumptions!B9</f>
        <v>255917067.69989443</v>
      </c>
      <c r="D10" s="18">
        <f>D6*Assumptions!B9</f>
        <v>292156282.3195118</v>
      </c>
      <c r="E10" s="18">
        <f>E6*Assumptions!B9</f>
        <v>333527162.00566834</v>
      </c>
      <c r="F10" s="18">
        <f>F6*Assumptions!B9</f>
        <v>380756377.7591446</v>
      </c>
    </row>
    <row r="11" spans="1:6" x14ac:dyDescent="0.25">
      <c r="A11" t="s">
        <v>47</v>
      </c>
      <c r="B11" s="18">
        <f>-B6*Assumptions!B10</f>
        <v>-420923616.16376317</v>
      </c>
      <c r="C11" s="18">
        <f>-C6*Assumptions!B10</f>
        <v>-480528633.53021663</v>
      </c>
      <c r="D11" s="18">
        <f>-D6*Assumptions!B10</f>
        <v>-548574037.6053907</v>
      </c>
      <c r="E11" s="18">
        <f>-E6*Assumptions!B10</f>
        <v>-626255031.9298657</v>
      </c>
      <c r="F11" s="18">
        <f>-F6*Assumptions!B10</f>
        <v>-714936067.2070259</v>
      </c>
    </row>
    <row r="12" spans="1:6" x14ac:dyDescent="0.25">
      <c r="A12" t="s">
        <v>48</v>
      </c>
      <c r="B12" s="18">
        <f>-(B6-Assumptions!B29)*Assumptions!B11</f>
        <v>-241143582.4793555</v>
      </c>
      <c r="C12" s="18">
        <f>-(C6-B6)*Assumptions!B11</f>
        <v>-275290793.2072487</v>
      </c>
      <c r="D12" s="18">
        <f>-(D6-C6)*Assumptions!B11</f>
        <v>-314273430.150952</v>
      </c>
      <c r="E12" s="18">
        <f>-(E6-D6)*Assumptions!B11</f>
        <v>-358776215.31821275</v>
      </c>
      <c r="F12" s="18">
        <f>-(F6-E6)*Assumptions!B11</f>
        <v>-409580830.986041</v>
      </c>
    </row>
    <row r="13" spans="1:6" x14ac:dyDescent="0.25">
      <c r="A13" s="19" t="s">
        <v>49</v>
      </c>
      <c r="B13" s="20">
        <f>B9+B10+B11+B12</f>
        <v>-217407278.16768986</v>
      </c>
      <c r="C13" s="20">
        <f>C9+C10+C11+C12</f>
        <v>-248193302.2660311</v>
      </c>
      <c r="D13" s="20">
        <f>D9+D10+D11+D12</f>
        <v>-283338790.71980464</v>
      </c>
      <c r="E13" s="20">
        <f>E9+E10+E11+E12</f>
        <v>-323461066.81199086</v>
      </c>
      <c r="F13" s="20">
        <f>F9+F10+F11+F12</f>
        <v>-369264870.07780534</v>
      </c>
    </row>
    <row r="14" spans="1:6" x14ac:dyDescent="0.25">
      <c r="A14" t="s">
        <v>50</v>
      </c>
      <c r="B14" s="21">
        <f>1/(1+Assumptions!$B$26)^(1-0.5*Assumptions!$B$32)</f>
        <v>0.9569611270850308</v>
      </c>
      <c r="C14" s="21">
        <f>1/(1+Assumptions!$B$26)^(2-0.5*Assumptions!$B$32)</f>
        <v>0.8763606921774145</v>
      </c>
      <c r="D14" s="21">
        <f>1/(1+Assumptions!$B$26)^(3-0.5*Assumptions!$B$32)</f>
        <v>0.8025488612406676</v>
      </c>
      <c r="E14" s="21">
        <f>1/(1+Assumptions!$B$26)^(4-0.5*Assumptions!$B$32)</f>
        <v>0.7349538613814286</v>
      </c>
      <c r="F14" s="21">
        <f>1/(1+Assumptions!$B$26)^(5-0.5*Assumptions!$B$32)</f>
        <v>0.6730520775077024</v>
      </c>
    </row>
    <row r="15" spans="1:6" x14ac:dyDescent="0.25">
      <c r="A15" s="19" t="s">
        <v>51</v>
      </c>
      <c r="B15" s="20">
        <f>B13*B14</f>
        <v>-208050313.9518413</v>
      </c>
      <c r="C15" s="20">
        <f>C13*C14</f>
        <v>-217506854.16765726</v>
      </c>
      <c r="D15" s="20">
        <f>D13*D14</f>
        <v>-227393223.83748704</v>
      </c>
      <c r="E15" s="20">
        <f>E13*E14</f>
        <v>-237728960.06002894</v>
      </c>
      <c r="F15" s="20">
        <f>F13*F14</f>
        <v>-248534487.9564787</v>
      </c>
    </row>
    <row r="17" spans="1:2" x14ac:dyDescent="0.25">
      <c r="A17" s="22" t="s">
        <v>52</v>
      </c>
      <c r="B17" s="23">
        <f>SUM(B15:F15)</f>
        <v>-1139213839.973493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-369264870.07780534</v>
      </c>
    </row>
    <row r="5" spans="1:2" x14ac:dyDescent="0.25">
      <c r="A5" t="s">
        <v>56</v>
      </c>
      <c r="B5" s="18">
        <f>IF(Assumptions!$B$33=0,B4,B4-Forecast!F11-Forecast!F10-Forecast!F12)</f>
        <v>374495650.35611695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0.27182256931426474</v>
      </c>
    </row>
    <row r="7" spans="1:2" x14ac:dyDescent="0.25">
      <c r="A7" t="s">
        <v>58</v>
      </c>
      <c r="B7" s="18">
        <f>-MAX(Forecast!F9,0)*B6</f>
        <v>-101796369.87681626</v>
      </c>
    </row>
    <row r="8" spans="1:2" x14ac:dyDescent="0.25">
      <c r="A8" t="s">
        <v>59</v>
      </c>
      <c r="B8" s="18">
        <f>IF(OR(Assumptions!$B$33=0,Assumptions!B12&lt;=0),B5,MAX(B5+B7,0))</f>
        <v>272699280.4793007</v>
      </c>
    </row>
    <row r="9" spans="1:2" x14ac:dyDescent="0.25">
      <c r="A9" t="s">
        <v>60</v>
      </c>
      <c r="B9" s="18">
        <f>B8*(1+Assumptions!B12)/(Assumptions!B26-Assumptions!B12)</f>
        <v>4173651164.9494653</v>
      </c>
    </row>
    <row r="10" spans="1:2" x14ac:dyDescent="0.25">
      <c r="A10" t="s">
        <v>61</v>
      </c>
      <c r="B10" s="18">
        <f>B9/(1+Assumptions!B26)^(5-0.5*Assumptions!B32)</f>
        <v>2809084587.3616796</v>
      </c>
    </row>
    <row r="11" spans="1:2" x14ac:dyDescent="0.25">
      <c r="A11" t="s">
        <v>62</v>
      </c>
      <c r="B11" s="18">
        <f>Forecast!B17+B10</f>
        <v>1669870747.3881865</v>
      </c>
    </row>
    <row r="12" spans="1:2" x14ac:dyDescent="0.25">
      <c r="A12" t="s">
        <v>63</v>
      </c>
      <c r="B12" s="18">
        <f>-Assumptions!B30</f>
        <v>449000000</v>
      </c>
    </row>
    <row r="13" spans="1:2" x14ac:dyDescent="0.25">
      <c r="A13" t="s">
        <v>64</v>
      </c>
      <c r="B13" s="18">
        <f>B11+B12</f>
        <v>2118870747.3881865</v>
      </c>
    </row>
    <row r="14" spans="1:2" x14ac:dyDescent="0.25">
      <c r="A14" s="19" t="s">
        <v>65</v>
      </c>
      <c r="B14" s="24">
        <f>B13/Assumptions!B31</f>
        <v>5.036536124050835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854801504.792204</v>
      </c>
    </row>
    <row r="18" spans="1:2" x14ac:dyDescent="0.25">
      <c r="A18" t="s">
        <v>60</v>
      </c>
      <c r="B18" s="18">
        <f>B17*Assumptions!B13</f>
        <v>17096030095.84408</v>
      </c>
    </row>
    <row r="19" spans="1:2" x14ac:dyDescent="0.25">
      <c r="A19" t="s">
        <v>61</v>
      </c>
      <c r="B19" s="18">
        <f>B18/(1+Assumptions!B26)^(5-0.5*Assumptions!B32)</f>
        <v>11506518573.142061</v>
      </c>
    </row>
    <row r="20" spans="1:2" x14ac:dyDescent="0.25">
      <c r="A20" t="s">
        <v>62</v>
      </c>
      <c r="B20" s="18">
        <f>Forecast!B17+B19</f>
        <v>10367304733.168568</v>
      </c>
    </row>
    <row r="21" spans="1:2" x14ac:dyDescent="0.25">
      <c r="A21" t="s">
        <v>63</v>
      </c>
      <c r="B21" s="18">
        <f>-Assumptions!B30</f>
        <v>449000000</v>
      </c>
    </row>
    <row r="22" spans="1:2" x14ac:dyDescent="0.25">
      <c r="A22" t="s">
        <v>64</v>
      </c>
      <c r="B22" s="18">
        <f>B20+B21</f>
        <v>10816304733.168568</v>
      </c>
    </row>
    <row r="23" spans="1:2" x14ac:dyDescent="0.25">
      <c r="A23" s="19" t="s">
        <v>65</v>
      </c>
      <c r="B23" s="25">
        <f>B22/Assumptions!B31</f>
        <v>25.71025608074297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29.09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5.036536124050835</v>
      </c>
    </row>
    <row r="29" spans="1:2" x14ac:dyDescent="0.25">
      <c r="A29" s="19" t="s">
        <v>73</v>
      </c>
      <c r="B29" s="12">
        <f>B28/B26-1</f>
        <v>-0.8268636602251346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0.071972</v>
      </c>
      <c r="B5" s="31">
        <v>7.407959473034231</v>
      </c>
      <c r="C5" s="31">
        <v>7.45319245415687</v>
      </c>
      <c r="D5" s="31">
        <v>7.498425435279503</v>
      </c>
      <c r="E5" s="31">
        <v>7.543658416402141</v>
      </c>
      <c r="F5" s="31">
        <v>7.588891397524777</v>
      </c>
    </row>
    <row r="6" spans="1:6" x14ac:dyDescent="0.25">
      <c r="A6" s="30">
        <v>0.081972</v>
      </c>
      <c r="B6" s="31">
        <v>6.026060234613562</v>
      </c>
      <c r="C6" s="31">
        <v>6.064149854620441</v>
      </c>
      <c r="D6" s="31">
        <v>6.1022394746273205</v>
      </c>
      <c r="E6" s="31">
        <v>6.1403290946342</v>
      </c>
      <c r="F6" s="31">
        <v>6.178418714641078</v>
      </c>
    </row>
    <row r="7" spans="1:6" x14ac:dyDescent="0.25">
      <c r="A7" s="30">
        <v>0.091972</v>
      </c>
      <c r="B7" s="31">
        <v>4.971370731932854</v>
      </c>
      <c r="C7" s="31">
        <v>5.003942165862831</v>
      </c>
      <c r="D7" s="32">
        <v>5.036513599792806</v>
      </c>
      <c r="E7" s="31">
        <v>5.069085033722784</v>
      </c>
      <c r="F7" s="31">
        <v>5.101656467652759</v>
      </c>
    </row>
    <row r="8" spans="1:6" x14ac:dyDescent="0.25">
      <c r="A8" s="30">
        <v>0.101972</v>
      </c>
      <c r="B8" s="31">
        <v>4.146205838393294</v>
      </c>
      <c r="C8" s="31">
        <v>4.174402378075491</v>
      </c>
      <c r="D8" s="31">
        <v>4.202598917757687</v>
      </c>
      <c r="E8" s="31">
        <v>4.230795457439884</v>
      </c>
      <c r="F8" s="31">
        <v>4.258991997122079</v>
      </c>
    </row>
    <row r="9" spans="1:6" x14ac:dyDescent="0.25">
      <c r="A9" s="30">
        <v>0.111972</v>
      </c>
      <c r="B9" s="31">
        <v>3.4878635157351017</v>
      </c>
      <c r="C9" s="31">
        <v>3.5125189412596303</v>
      </c>
      <c r="D9" s="31">
        <v>3.5371743667841575</v>
      </c>
      <c r="E9" s="31">
        <v>3.5618297923086866</v>
      </c>
      <c r="F9" s="31">
        <v>3.586485217833213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3247000000</v>
      </c>
      <c r="C5" s="18">
        <v>2736000000</v>
      </c>
      <c r="D5" s="18">
        <v>2455000000</v>
      </c>
      <c r="E5" s="18">
        <v>2182400000</v>
      </c>
      <c r="F5" s="8" t="s">
        <v>84</v>
      </c>
    </row>
    <row r="6" spans="1:6" x14ac:dyDescent="0.25">
      <c r="A6" t="s">
        <v>44</v>
      </c>
      <c r="B6" s="18">
        <v>-72000000</v>
      </c>
      <c r="C6" s="18">
        <v>5000000</v>
      </c>
      <c r="D6" s="18">
        <v>282000000</v>
      </c>
      <c r="E6" s="18">
        <v>451000000</v>
      </c>
      <c r="F6" s="8" t="s">
        <v>85</v>
      </c>
    </row>
    <row r="7" spans="1:6" x14ac:dyDescent="0.25">
      <c r="A7" t="s">
        <v>86</v>
      </c>
      <c r="B7" s="18">
        <v>263000000</v>
      </c>
      <c r="C7" s="18">
        <v>147000000</v>
      </c>
      <c r="D7" s="18">
        <v>108000000</v>
      </c>
      <c r="E7" s="18">
        <v>137900000</v>
      </c>
      <c r="F7" s="8" t="s">
        <v>87</v>
      </c>
    </row>
    <row r="8" spans="1:6" x14ac:dyDescent="0.25">
      <c r="A8" t="s">
        <v>88</v>
      </c>
      <c r="B8" s="18">
        <v>389000000</v>
      </c>
      <c r="C8" s="18">
        <v>638000000</v>
      </c>
      <c r="D8" s="18">
        <v>143000000</v>
      </c>
      <c r="E8" s="18">
        <v>93800000</v>
      </c>
      <c r="F8" s="8" t="s">
        <v>89</v>
      </c>
    </row>
    <row r="9" spans="1:6" x14ac:dyDescent="0.25">
      <c r="A9" t="s">
        <v>90</v>
      </c>
      <c r="B9" s="18">
        <v>268000000</v>
      </c>
      <c r="C9" s="18">
        <v>119000000</v>
      </c>
      <c r="D9" s="18">
        <v>199000000</v>
      </c>
      <c r="E9" s="18">
        <v>205600000</v>
      </c>
      <c r="F9" s="8" t="s">
        <v>91</v>
      </c>
    </row>
    <row r="10" spans="1:6" x14ac:dyDescent="0.25">
      <c r="A10" t="s">
        <v>92</v>
      </c>
      <c r="B10" s="18">
        <v>1184000000</v>
      </c>
      <c r="C10" s="18">
        <v>1151000000</v>
      </c>
      <c r="D10" s="18">
        <v>1110400000</v>
      </c>
      <c r="E10" s="18">
        <v>1105600000</v>
      </c>
      <c r="F10" s="8" t="s">
        <v>93</v>
      </c>
    </row>
    <row r="11" spans="1:6" x14ac:dyDescent="0.25">
      <c r="A11" t="s">
        <v>94</v>
      </c>
      <c r="B11" s="18">
        <v>1633000000</v>
      </c>
      <c r="C11" s="18">
        <v>4681000000</v>
      </c>
      <c r="D11" s="18">
        <v>5215900000</v>
      </c>
      <c r="E11" s="18">
        <v>4968000000</v>
      </c>
      <c r="F11" s="8" t="s">
        <v>95</v>
      </c>
    </row>
    <row r="12" spans="1:6" x14ac:dyDescent="0.25">
      <c r="A12" t="s">
        <v>32</v>
      </c>
      <c r="B12" s="34">
        <v>420700000</v>
      </c>
      <c r="C12" s="34">
        <v>407800000</v>
      </c>
      <c r="D12" s="34">
        <v>406900000</v>
      </c>
      <c r="E12" s="34">
        <v>397752000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2026-09-19T00:06:08Z</dcterms:modified>
</cp:coreProperties>
</file>