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<sst xmlns="http://schemas.openxmlformats.org/spreadsheetml/2006/main" count="122" uniqueCount="109">
  <si>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CoStar Group, Inc. (CSGP)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</si>
  <si>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</si>
  <si>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</si>
  <si>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</si>
  <si>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</si>
  <si>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</si>
  <si>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</si>
  <si>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</si>
  <si>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</si>
  <si>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</si>
  <si>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</si>
  <si>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</si>
  <si>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</si>
  <si>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</si>
  <si>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</si>
  <si>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</si>
  <si>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</si>
  <si>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</si>
  <si>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</si>
  <si>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</si>
  <si>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</si>
  <si>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</si>
  <si>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</si>
  <si>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</si>
  <si>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</si>
  <si>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</si>
  <si>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</si>
  <si>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</si>
  <si>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</si>
  <si>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</si>
  <si>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</si>
  <si>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</si>
  <si>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</si>
  <si>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</si>
  <si>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</si>
  <si>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</si>
  <si>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</si>
  <si>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</si>
  <si>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</si>
  <si>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</si>
  <si>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</si>
  <si>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</si>
  <si>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</si>
  <si>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</si>
  <si>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</si>
  <si>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</si>
  <si>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</si>
  <si>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</si>
  <si>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</si>
  <si>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</si>
  <si>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</si>
  <si>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</si>
  <si>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</si>
  <si>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</si>
  <si>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</si>
  <si>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</si>
  <si>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</si>
  <si>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</si>
  <si>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</si>
  <si>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</si>
  <si>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</si>
  <si>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</si>
  <si>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</si>
  <si>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</si>
  <si>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</si>
  <si>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</si>
  <si>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</si>
  <si>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</si>
  <si>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</si>
  <si>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</si>
  <si>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</si>
  <si>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</si>
  <si>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</si>
  <si>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</si>
  <si>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</si>
  <si>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</si>
  <si>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</si>
  <si>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</si>
  <si>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</si>
  <si>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</si>
  <si>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</si>
  <si>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</si>
  <si>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</si>
  <si>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</si>
  <si>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</si>
  <si>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</si>
  <si>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</si>
  <si>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</si>
  <si>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</si>
  <si>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</si>
  <si>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</si>
  <si>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</si>
  <si>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</si>
  <si>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</si>
  <si>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</si>
  <si>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</si>
  <si>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</si>
  <si>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</si>
  <si>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</si>
  <si>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</si>
  <si>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</si>
  <si>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</si>
  <si>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</si>
  <si>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</si>
  <si>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</si>
  <si>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</si>
  <si>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11.4% of revenue against depreciation of 6.0%.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</si>
  <si>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61.2x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</si>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</sst>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0.158384354789036</v>
      </c>
    </row>
    <row r="7" spans="1:2" x14ac:dyDescent="0.25">
      <c r="A7" t="s">
        <v>4</v>
      </c>
      <c r="B7" s="5">
        <v>0.07529350338560818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0.060476271103828375</v>
      </c>
    </row>
    <row r="10" spans="1:3" x14ac:dyDescent="0.25">
      <c r="A10" t="s">
        <v>7</v>
      </c>
      <c r="B10" s="5">
        <v>0.11355467681664737</v>
      </c>
      <c r="C10" s="6" t="s">
        <v>8</v>
      </c>
    </row>
    <row r="11" spans="1:2" x14ac:dyDescent="0.25">
      <c r="A11" t="s">
        <v>9</v>
      </c>
      <c r="B11" s="5">
        <v>0.05827268115526446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0.08270377121438562</v>
      </c>
      <c r="C14" s="6" t="s">
        <v>13</v>
      </c>
    </row>
    <row r="15" spans="1:3" x14ac:dyDescent="0.25">
      <c r="A15" t="s">
        <v>14</v>
      </c>
      <c r="B15" s="5">
        <v>0.060476271103828375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0.86332</v>
      </c>
      <c r="C19" s="6" t="s">
        <v>21</v>
      </c>
    </row>
    <row r="20" spans="1:2" x14ac:dyDescent="0.25">
      <c r="A20" t="s">
        <v>22</v>
      </c>
      <c r="B20" s="9">
        <f>B17+B19*B18</f>
        <v>0.085458436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12138517504</v>
      </c>
    </row>
    <row r="23" spans="1:2" x14ac:dyDescent="0.25">
      <c r="A23" t="s">
        <v>26</v>
      </c>
      <c r="B23" s="10">
        <v>1184000000</v>
      </c>
    </row>
    <row r="24" spans="1:2" x14ac:dyDescent="0.25">
      <c r="A24" t="s">
        <v>27</v>
      </c>
      <c r="B24" s="9">
        <f>B22/(B22+B23)</f>
        <v>0.9111279080966107</v>
      </c>
    </row>
    <row r="25" spans="1:2" x14ac:dyDescent="0.25">
      <c r="A25" t="s">
        <v>28</v>
      </c>
      <c r="B25" s="9">
        <f>1-B24</f>
        <v>0.0888720919033893</v>
      </c>
    </row>
    <row r="26" spans="1:2" x14ac:dyDescent="0.25">
      <c r="A26" t="s">
        <v>29</v>
      </c>
      <c r="B26" s="11">
        <f>B24*B20+B25*B21*(1-B8)</f>
        <v>0.08270377121438562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3247000000</v>
      </c>
      <c r="C29" s="6" t="s">
        <v>32</v>
      </c>
    </row>
    <row r="30" spans="1:2" x14ac:dyDescent="0.25">
      <c r="A30" t="s">
        <v>33</v>
      </c>
      <c r="B30" s="10">
        <v>-449000000</v>
      </c>
    </row>
    <row r="31" spans="1:2" x14ac:dyDescent="0.25">
      <c r="A31" t="s">
        <v>34</v>
      </c>
      <c r="B31" s="12">
        <v>420700000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0.158384354789036</v>
      </c>
      <c r="C5" s="5">
        <v>0.10860803281015952</v>
      </c>
      <c r="D5" s="5">
        <v>0.09815702870888958</v>
      </c>
      <c r="E5" s="5">
        <v>0.08770602460761964</v>
      </c>
      <c r="F5" s="5">
        <v>0.07725502050634969</v>
      </c>
      <c r="G5" s="5">
        <v>0.06680401640507976</v>
      </c>
      <c r="H5" s="5">
        <v>0.05635301230380982</v>
      </c>
      <c r="I5" s="5">
        <v>0.04590200820253987</v>
      </c>
      <c r="J5" s="5">
        <v>0.03545100410126993</v>
      </c>
      <c r="K5" s="5">
        <v>0.024999999999999994</v>
      </c>
    </row>
    <row r="6" spans="1:11" x14ac:dyDescent="0.25">
      <c r="A6" t="s">
        <v>50</v>
      </c>
      <c r="B6" s="18">
        <f>Assumptions!B29*(1+B5)</f>
        <v>3761274000</v>
      </c>
      <c r="C6" s="18">
        <f>B6*(1+C5)</f>
        <v>4169778570</v>
      </c>
      <c r="D6" s="18">
        <f>C6*(1+D5)</f>
        <v>4579071644.8052025</v>
      </c>
      <c r="E6" s="18">
        <f>D6*(1+E5)</f>
        <v>4980683815.16454</v>
      </c>
      <c r="F6" s="18">
        <f>E6*(1+F5)</f>
        <v>5365466645.440721</v>
      </c>
      <c r="G6" s="18">
        <f>F6*(1+G5)</f>
        <v>5723901367.243651</v>
      </c>
      <c r="H6" s="18">
        <f>G6*(1+H5)</f>
        <v>6046460451.4177265</v>
      </c>
      <c r="I6" s="18">
        <f>H6*(1+I5)</f>
        <v>6324005128.655036</v>
      </c>
      <c r="J6" s="18">
        <f>I6*(1+J5)</f>
        <v>6548197460.407437</v>
      </c>
      <c r="K6" s="18">
        <f>J6*(1+K5)</f>
        <v>6711902396.917623</v>
      </c>
    </row>
    <row r="7" spans="1:11" x14ac:dyDescent="0.25">
      <c r="A7" t="s">
        <v>4</v>
      </c>
      <c r="B7" s="9">
        <f>Assumptions!B7</f>
        <v>0.07529350338560818</v>
      </c>
      <c r="C7" s="9">
        <f>Assumptions!B7</f>
        <v>0.07529350338560818</v>
      </c>
      <c r="D7" s="9">
        <f>Assumptions!B7</f>
        <v>0.07529350338560818</v>
      </c>
      <c r="E7" s="9">
        <f>Assumptions!B7</f>
        <v>0.07529350338560818</v>
      </c>
      <c r="F7" s="9">
        <f>Assumptions!B7</f>
        <v>0.07529350338560818</v>
      </c>
      <c r="G7" s="9">
        <f>Assumptions!B7</f>
        <v>0.07529350338560818</v>
      </c>
      <c r="H7" s="9">
        <f>Assumptions!B7</f>
        <v>0.07529350338560818</v>
      </c>
      <c r="I7" s="9">
        <f>Assumptions!B7</f>
        <v>0.07529350338560818</v>
      </c>
      <c r="J7" s="9">
        <f>Assumptions!B7</f>
        <v>0.07529350338560818</v>
      </c>
      <c r="K7" s="9">
        <f>Assumptions!B7</f>
        <v>0.07529350338560818</v>
      </c>
    </row>
    <row r="8" spans="1:11" x14ac:dyDescent="0.25">
      <c r="A8" t="s">
        <v>51</v>
      </c>
      <c r="B8" s="18">
        <f>B6*B7</f>
        <v>283199496.65320003</v>
      </c>
      <c r="C8" s="18">
        <f>C6*C7</f>
        <v>313957236.87753147</v>
      </c>
      <c r="D8" s="18">
        <f>D6*D7</f>
        <v>344774346.39108294</v>
      </c>
      <c r="E8" s="18">
        <f>E6*E7</f>
        <v>375013133.69973516</v>
      </c>
      <c r="F8" s="18">
        <f>F6*F7</f>
        <v>403984781.03385866</v>
      </c>
      <c r="G8" s="18">
        <f>G6*G7</f>
        <v>430972586.97344714</v>
      </c>
      <c r="H8" s="18">
        <f>H6*H7</f>
        <v>455259190.46976656</v>
      </c>
      <c r="I8" s="18">
        <f>I6*I7</f>
        <v>476156501.5649915</v>
      </c>
      <c r="J8" s="18">
        <f>J6*J7</f>
        <v>493036727.6548183</v>
      </c>
      <c r="K8" s="18">
        <f>K6*K7</f>
        <v>505362645.84618866</v>
      </c>
    </row>
    <row r="9" spans="1:11" x14ac:dyDescent="0.25">
      <c r="A9" t="s">
        <v>52</v>
      </c>
      <c r="B9" s="18">
        <f>B8*(1-Assumptions!B8)</f>
        <v>223727602.35602802</v>
      </c>
      <c r="C9" s="18">
        <f>C8*(1-Assumptions!B8)</f>
        <v>248026217.13324988</v>
      </c>
      <c r="D9" s="18">
        <f>D8*(1-Assumptions!B8)</f>
        <v>272371733.6489555</v>
      </c>
      <c r="E9" s="18">
        <f>E8*(1-Assumptions!B8)</f>
        <v>296260375.6227908</v>
      </c>
      <c r="F9" s="18">
        <f>F8*(1-Assumptions!B8)</f>
        <v>319147977.01674837</v>
      </c>
      <c r="G9" s="18">
        <f>G8*(1-Assumptions!B8)</f>
        <v>340468343.70902324</v>
      </c>
      <c r="H9" s="18">
        <f>H8*(1-Assumptions!B8)</f>
        <v>359654760.4711156</v>
      </c>
      <c r="I9" s="18">
        <f>I8*(1-Assumptions!B8)</f>
        <v>376163636.23634326</v>
      </c>
      <c r="J9" s="18">
        <f>J8*(1-Assumptions!B8)</f>
        <v>389499014.8473065</v>
      </c>
      <c r="K9" s="18">
        <f>K8*(1-Assumptions!B8)</f>
        <v>399236490.21848905</v>
      </c>
    </row>
    <row r="10" spans="1:11" x14ac:dyDescent="0.25">
      <c r="A10" t="s">
        <v>53</v>
      </c>
      <c r="B10" s="18">
        <f>B6*Assumptions!B9</f>
        <v>227467826.11978096</v>
      </c>
      <c r="C10" s="18">
        <f>C6*Assumptions!B9</f>
        <v>252172659.2422538</v>
      </c>
      <c r="D10" s="18">
        <f>D6*Assumptions!B9</f>
        <v>276925178.19509274</v>
      </c>
      <c r="E10" s="18">
        <f>E6*Assumptions!B9</f>
        <v>301213184.68834096</v>
      </c>
      <c r="F10" s="18">
        <f>F6*Assumptions!B9</f>
        <v>324483415.4482216</v>
      </c>
      <c r="G10" s="18">
        <f>G6*Assumptions!B9</f>
        <v>346160210.85700095</v>
      </c>
      <c r="H10" s="18">
        <f>H6*Assumptions!B9</f>
        <v>365667381.4785149</v>
      </c>
      <c r="I10" s="18">
        <f>I6*Assumptions!B9</f>
        <v>382452248.622543</v>
      </c>
      <c r="J10" s="18">
        <f>J6*Assumptions!B9</f>
        <v>396010564.85700065</v>
      </c>
      <c r="K10" s="18">
        <f>K6*Assumptions!B9</f>
        <v>405910828.9784256</v>
      </c>
    </row>
    <row r="11" spans="1:11" x14ac:dyDescent="0.25">
      <c r="A11" t="s">
        <v>54</v>
      </c>
      <c r="B11" s="18">
        <f>-B6*B19</f>
        <v>-427110253.4888585</v>
      </c>
      <c r="C11" s="18">
        <f>-C6*C19</f>
        <v>-457236644.3625624</v>
      </c>
      <c r="D11" s="18">
        <f>-D6*D19</f>
        <v>-484260268.8339009</v>
      </c>
      <c r="E11" s="18">
        <f>-E6*E19</f>
        <v>-507309247.3546514</v>
      </c>
      <c r="F11" s="18">
        <f>-F6*F19</f>
        <v>-525577301.25162035</v>
      </c>
      <c r="G11" s="18">
        <f>-G6*G19</f>
        <v>-538366027.4112842</v>
      </c>
      <c r="H11" s="18">
        <f>-H6*H19</f>
        <v>-545124717.2444587</v>
      </c>
      <c r="I11" s="18">
        <f>-I6*I19</f>
        <v>-545484816.1394175</v>
      </c>
      <c r="J11" s="18">
        <f>-J6*J19</f>
        <v>-539286279.7714705</v>
      </c>
      <c r="K11" s="18">
        <f>-K6*K19</f>
        <v>-526593502.9231191</v>
      </c>
    </row>
    <row r="12" spans="1:11" x14ac:dyDescent="0.25">
      <c r="A12" t="s">
        <v>55</v>
      </c>
      <c r="B12" s="18">
        <f>-(B6-Assumptions!B29)*Assumptions!B11</f>
        <v>-29968124.828442477</v>
      </c>
      <c r="C12" s="18">
        <f>-(C6-B6)*Assumptions!B11</f>
        <v>-23804656.558078412</v>
      </c>
      <c r="D12" s="18">
        <f>-(D6-C6)*Assumptions!B11</f>
        <v>-23850604.84718137</v>
      </c>
      <c r="E12" s="18">
        <f>-(E6-D6)*Assumptions!B11</f>
        <v>-23403017.951423444</v>
      </c>
      <c r="F12" s="18">
        <f>-(F6-E6)*Assumptions!B11</f>
        <v>-22422327.182704095</v>
      </c>
      <c r="G12" s="18">
        <f>-(G6-F6)*Assumptions!B11</f>
        <v>-20886952.258598108</v>
      </c>
      <c r="H12" s="18">
        <f>-(H6-G6)*Assumptions!B11</f>
        <v>-18796382.66580999</v>
      </c>
      <c r="I12" s="18">
        <f>-(I6-H6)*Assumptions!B11</f>
        <v>-16173272.48299052</v>
      </c>
      <c r="J12" s="18">
        <f>-(J6-I6)*Assumptions!B11</f>
        <v>-13064288.265662957</v>
      </c>
      <c r="K12" s="18">
        <f>-(K6-J6)*Assumptions!B11</f>
        <v>-9539525.568800837</v>
      </c>
    </row>
    <row r="13" spans="1:11" x14ac:dyDescent="0.25">
      <c r="A13" s="19" t="s">
        <v>56</v>
      </c>
      <c r="B13" s="20">
        <f>B9+B10+B11+B12</f>
        <v>-5882949.84149202</v>
      </c>
      <c r="C13" s="20">
        <f>C9+C10+C11+C12</f>
        <v>19157575.45486283</v>
      </c>
      <c r="D13" s="20">
        <f>D9+D10+D11+D12</f>
        <v>41186038.16296597</v>
      </c>
      <c r="E13" s="20">
        <f>E9+E10+E11+E12</f>
        <v>66761295.00505688</v>
      </c>
      <c r="F13" s="20">
        <f>F9+F10+F11+F12</f>
        <v>95631764.03064555</v>
      </c>
      <c r="G13" s="20">
        <f>G9+G10+G11+G12</f>
        <v>127375574.89614187</v>
      </c>
      <c r="H13" s="20">
        <f>H9+H10+H11+H12</f>
        <v>161401042.03936183</v>
      </c>
      <c r="I13" s="20">
        <f>I9+I10+I11+I12</f>
        <v>196957796.23647818</v>
      </c>
      <c r="J13" s="20">
        <f>J9+J10+J11+J12</f>
        <v>233159011.66717356</v>
      </c>
      <c r="K13" s="20">
        <f>K9+K10+K11+K12</f>
        <v>269014290.7049947</v>
      </c>
    </row>
    <row r="14" spans="1:11" x14ac:dyDescent="0.25">
      <c r="A14" t="s">
        <v>57</v>
      </c>
      <c r="B14" s="21">
        <f>1/(1+Assumptions!$B$26)^(1-0.5*Assumptions!$B$32)</f>
        <v>0.9610482124352392</v>
      </c>
      <c r="C14" s="21">
        <f>1/(1+Assumptions!$B$26)^(2-0.5*Assumptions!$B$32)</f>
        <v>0.8876372632906833</v>
      </c>
      <c r="D14" s="21">
        <f>1/(1+Assumptions!$B$26)^(3-0.5*Assumptions!$B$32)</f>
        <v>0.8198339073808606</v>
      </c>
      <c r="E14" s="21">
        <f>1/(1+Assumptions!$B$26)^(4-0.5*Assumptions!$B$32)</f>
        <v>0.7572098012195116</v>
      </c>
      <c r="F14" s="21">
        <f>1/(1+Assumptions!$B$26)^(5-0.5*Assumptions!$B$32)</f>
        <v>0.6993693209087168</v>
      </c>
      <c r="G14" s="21">
        <f>1/(1+Assumptions!$B$26)^(6-0.5*Assumptions!$B$32)</f>
        <v>0.6459470628095144</v>
      </c>
      <c r="H14" s="21">
        <f>1/(1+Assumptions!$B$26)^(7-0.5*Assumptions!$B$32)</f>
        <v>0.5966055351271246</v>
      </c>
      <c r="I14" s="21">
        <f>1/(1+Assumptions!$B$26)^(8-0.5*Assumptions!$B$32)</f>
        <v>0.5510330258275151</v>
      </c>
      <c r="J14" s="21">
        <f>1/(1+Assumptions!$B$26)^(9-0.5*Assumptions!$B$32)</f>
        <v>0.5089416334160023</v>
      </c>
      <c r="K14" s="21">
        <f>1/(1+Assumptions!$B$26)^(10-0.5*Assumptions!$B$32)</f>
        <v>0.47006544813745466</v>
      </c>
    </row>
    <row r="15" spans="1:11" x14ac:dyDescent="0.25">
      <c r="A15" s="19" t="s">
        <v>58</v>
      </c>
      <c r="B15" s="20">
        <f>B13*B14</f>
        <v>-5653798.429012079</v>
      </c>
      <c r="C15" s="20">
        <f>C13*C14</f>
        <v>17004977.84803921</v>
      </c>
      <c r="D15" s="20">
        <f>D13*D14</f>
        <v>33765710.59668163</v>
      </c>
      <c r="E15" s="20">
        <f>E13*E14</f>
        <v>50552306.9199363</v>
      </c>
      <c r="F15" s="20">
        <f>F13*F14</f>
        <v>66881921.867415234</v>
      </c>
      <c r="G15" s="20">
        <f>G13*G14</f>
        <v>82277878.47783616</v>
      </c>
      <c r="H15" s="20">
        <f>H13*H14</f>
        <v>96292755.055969</v>
      </c>
      <c r="I15" s="20">
        <f>I13*I14</f>
        <v>108530250.42050575</v>
      </c>
      <c r="J15" s="20">
        <f>J13*J14</f>
        <v>118664328.24355204</v>
      </c>
      <c r="K15" s="20">
        <f>K13*K14</f>
        <v>126454323.11562283</v>
      </c>
    </row>
    <row r="17" spans="1:2" x14ac:dyDescent="0.25">
      <c r="A17" s="22" t="s">
        <v>59</v>
      </c>
      <c r="B17" s="23">
        <f>SUM(B15:K15)</f>
        <v>694770654.1165462</v>
      </c>
    </row>
    <row r="19" spans="1:11" x14ac:dyDescent="0.25">
      <c r="A19" t="s">
        <v>7</v>
      </c>
      <c r="B19" s="9">
        <f>Assumptions!$B$10+($B$20-Assumptions!$B$10)*0/9</f>
        <v>0.11355467681664737</v>
      </c>
      <c r="C19" s="9">
        <f>Assumptions!$B$10+($B$20-Assumptions!$B$10)*1/9</f>
        <v>0.1096548981406853</v>
      </c>
      <c r="D19" s="9">
        <f>Assumptions!$B$10+($B$20-Assumptions!$B$10)*2/9</f>
        <v>0.10575511946472324</v>
      </c>
      <c r="E19" s="9">
        <f>Assumptions!$B$10+($B$20-Assumptions!$B$10)*3/9</f>
        <v>0.10185534078876117</v>
      </c>
      <c r="F19" s="9">
        <f>Assumptions!$B$10+($B$20-Assumptions!$B$10)*4/9</f>
        <v>0.0979555621127991</v>
      </c>
      <c r="G19" s="9">
        <f>Assumptions!$B$10+($B$20-Assumptions!$B$10)*5/9</f>
        <v>0.09405578343683703</v>
      </c>
      <c r="H19" s="9">
        <f>Assumptions!$B$10+($B$20-Assumptions!$B$10)*6/9</f>
        <v>0.09015600476087496</v>
      </c>
      <c r="I19" s="9">
        <f>Assumptions!$B$10+($B$20-Assumptions!$B$10)*7/9</f>
        <v>0.0862562260849129</v>
      </c>
      <c r="J19" s="9">
        <f>Assumptions!$B$10+($B$20-Assumptions!$B$10)*8/9</f>
        <v>0.08235644740895083</v>
      </c>
      <c r="K19" s="9">
        <f>Assumptions!$B$10+($B$20-Assumptions!$B$10)*9/9</f>
        <v>0.07845666873298876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0.07845666873298876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269014290.7049947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399236490.21848905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0.30228367622069774</v>
      </c>
    </row>
    <row r="7" spans="1:2" x14ac:dyDescent="0.25">
      <c r="A7" t="s">
        <v>66</v>
      </c>
      <c r="B7" s="18">
        <f>-MAX(B5,0)*B6</f>
        <v>-120682673.9446935</v>
      </c>
    </row>
    <row r="8" spans="1:2" x14ac:dyDescent="0.25">
      <c r="A8" t="s">
        <v>67</v>
      </c>
      <c r="B8" s="18">
        <f>IF(OR(Assumptions!$B$33=0,Assumptions!B12&lt;=0),B5,MAX(B5+B7,0))</f>
        <v>278553816.27379555</v>
      </c>
    </row>
    <row r="9" spans="1:2" x14ac:dyDescent="0.25">
      <c r="A9" t="s">
        <v>68</v>
      </c>
      <c r="B9" s="18">
        <f>B8*(1+Assumptions!B12)/(Assumptions!B26-Assumptions!B12)</f>
        <v>4947989631.732432</v>
      </c>
    </row>
    <row r="10" spans="1:2" x14ac:dyDescent="0.25">
      <c r="A10" t="s">
        <v>69</v>
      </c>
      <c r="B10" s="18">
        <f>B9/(1+Assumptions!B26)^(10-0.5*Assumptions!B32)</f>
        <v>2325878963.619785</v>
      </c>
    </row>
    <row r="11" spans="1:2" x14ac:dyDescent="0.25">
      <c r="A11" t="s">
        <v>70</v>
      </c>
      <c r="B11" s="18">
        <f>Forecast!B17+B10</f>
        <v>3020649617.736331</v>
      </c>
    </row>
    <row r="12" spans="1:2" x14ac:dyDescent="0.25">
      <c r="A12" t="s">
        <v>71</v>
      </c>
      <c r="B12" s="18">
        <f>-Assumptions!B30</f>
        <v>449000000</v>
      </c>
    </row>
    <row r="13" spans="1:2" x14ac:dyDescent="0.25">
      <c r="A13" t="s">
        <v>72</v>
      </c>
      <c r="B13" s="18">
        <f>B11+B12</f>
        <v>3469649617.736331</v>
      </c>
    </row>
    <row r="14" spans="1:2" x14ac:dyDescent="0.25">
      <c r="A14" s="19" t="s">
        <v>73</v>
      </c>
      <c r="B14" s="24">
        <f>B13/Assumptions!B31</f>
        <v>8.24732497679185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911273474.8246143</v>
      </c>
    </row>
    <row r="18" spans="1:2" x14ac:dyDescent="0.25">
      <c r="A18" t="s">
        <v>68</v>
      </c>
      <c r="B18" s="18">
        <f>B17*Assumptions!B13</f>
        <v>18225469496.492287</v>
      </c>
    </row>
    <row r="19" spans="1:2" x14ac:dyDescent="0.25">
      <c r="A19" t="s">
        <v>69</v>
      </c>
      <c r="B19" s="18">
        <f>B18/(1+Assumptions!B26)^(10-0.5*Assumptions!B32)</f>
        <v>8567163486.384157</v>
      </c>
    </row>
    <row r="20" spans="1:2" x14ac:dyDescent="0.25">
      <c r="A20" t="s">
        <v>70</v>
      </c>
      <c r="B20" s="18">
        <f>Forecast!B17+B19</f>
        <v>9261934140.500704</v>
      </c>
    </row>
    <row r="21" spans="1:2" x14ac:dyDescent="0.25">
      <c r="A21" t="s">
        <v>71</v>
      </c>
      <c r="B21" s="18">
        <f>-Assumptions!B30</f>
        <v>449000000</v>
      </c>
    </row>
    <row r="22" spans="1:2" x14ac:dyDescent="0.25">
      <c r="A22" t="s">
        <v>72</v>
      </c>
      <c r="B22" s="18">
        <f>B20+B21</f>
        <v>9710934140.500704</v>
      </c>
    </row>
    <row r="23" spans="1:2" x14ac:dyDescent="0.25">
      <c r="A23" s="19" t="s">
        <v>73</v>
      </c>
      <c r="B23" s="25">
        <f>B22/Assumptions!B31</f>
        <v>23.0828004290485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8.24732497679185</v>
      </c>
    </row>
    <row r="29" spans="1:2" x14ac:dyDescent="0.25">
      <c r="A29" s="19" t="s">
        <v>81</v>
      </c>
      <c r="B29" s="11">
        <f>B28/B26-1</f>
        <v>-0.7266382175408734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0.062704</v>
      </c>
      <c r="B5" s="31">
        <v>11.738226070128277</v>
      </c>
      <c r="C5" s="31">
        <v>11.557483866988962</v>
      </c>
      <c r="D5" s="31">
        <v>11.376741663849643</v>
      </c>
      <c r="E5" s="31">
        <v>11.195999460710322</v>
      </c>
      <c r="F5" s="31">
        <v>11.015257257571001</v>
      </c>
    </row>
    <row r="6" spans="1:6" x14ac:dyDescent="0.25">
      <c r="A6" s="30">
        <v>0.072704</v>
      </c>
      <c r="B6" s="31">
        <v>9.879422370734202</v>
      </c>
      <c r="C6" s="31">
        <v>9.73225184622901</v>
      </c>
      <c r="D6" s="31">
        <v>9.585081321723813</v>
      </c>
      <c r="E6" s="31">
        <v>9.43791079721862</v>
      </c>
      <c r="F6" s="31">
        <v>9.290740272713425</v>
      </c>
    </row>
    <row r="7" spans="1:6" x14ac:dyDescent="0.25">
      <c r="A7" s="30">
        <v>0.082704</v>
      </c>
      <c r="B7" s="31">
        <v>8.491801069866977</v>
      </c>
      <c r="C7" s="31">
        <v>8.369549682057912</v>
      </c>
      <c r="D7" s="32">
        <v>8.247298294248843</v>
      </c>
      <c r="E7" s="31">
        <v>8.125046906439778</v>
      </c>
      <c r="F7" s="31">
        <v>8.002795518630709</v>
      </c>
    </row>
    <row r="8" spans="1:6" x14ac:dyDescent="0.25">
      <c r="A8" s="30">
        <v>0.092704</v>
      </c>
      <c r="B8" s="31">
        <v>7.4213904670773125</v>
      </c>
      <c r="C8" s="31">
        <v>7.318244325180659</v>
      </c>
      <c r="D8" s="31">
        <v>7.215098183284003</v>
      </c>
      <c r="E8" s="31">
        <v>7.111952041387349</v>
      </c>
      <c r="F8" s="31">
        <v>7.008805899490693</v>
      </c>
    </row>
    <row r="9" spans="1:6" x14ac:dyDescent="0.25">
      <c r="A9" s="30">
        <v>0.102704</v>
      </c>
      <c r="B9" s="31">
        <v>6.574305491754013</v>
      </c>
      <c r="C9" s="31">
        <v>6.486180618250371</v>
      </c>
      <c r="D9" s="31">
        <v>6.3980557447467294</v>
      </c>
      <c r="E9" s="31">
        <v>6.309930871243087</v>
      </c>
      <c r="F9" s="31">
        <v>6.221805997739445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3247000000</v>
      </c>
      <c r="C5" s="18">
        <v>2736000000</v>
      </c>
      <c r="D5" s="18">
        <v>2455000000</v>
      </c>
      <c r="E5" s="18">
        <v>2182400000</v>
      </c>
      <c r="F5" s="6" t="s">
        <v>91</v>
      </c>
    </row>
    <row r="6" spans="1:6" x14ac:dyDescent="0.25">
      <c r="A6" t="s">
        <v>51</v>
      </c>
      <c r="B6" s="18">
        <v>-72000000</v>
      </c>
      <c r="C6" s="18">
        <v>5000000</v>
      </c>
      <c r="D6" s="18">
        <v>282000000</v>
      </c>
      <c r="E6" s="18">
        <v>451000000</v>
      </c>
      <c r="F6" s="6" t="s">
        <v>92</v>
      </c>
    </row>
    <row r="7" spans="1:6" x14ac:dyDescent="0.25">
      <c r="A7" t="s">
        <v>93</v>
      </c>
      <c r="B7" s="18">
        <v>263000000</v>
      </c>
      <c r="C7" s="18">
        <v>147000000</v>
      </c>
      <c r="D7" s="18">
        <v>108000000</v>
      </c>
      <c r="E7" s="18">
        <v>137900000</v>
      </c>
      <c r="F7" s="6" t="s">
        <v>94</v>
      </c>
    </row>
    <row r="8" spans="1:6" x14ac:dyDescent="0.25">
      <c r="A8" t="s">
        <v>95</v>
      </c>
      <c r="B8" s="18">
        <v>389000000</v>
      </c>
      <c r="C8" s="18">
        <v>638000000</v>
      </c>
      <c r="D8" s="18">
        <v>143000000</v>
      </c>
      <c r="E8" s="18">
        <v>93800000</v>
      </c>
      <c r="F8" s="6" t="s">
        <v>96</v>
      </c>
    </row>
    <row r="9" spans="1:6" x14ac:dyDescent="0.25">
      <c r="A9" t="s">
        <v>97</v>
      </c>
      <c r="B9" s="18">
        <v>268000000</v>
      </c>
      <c r="C9" s="18">
        <v>119000000</v>
      </c>
      <c r="D9" s="18">
        <v>199000000</v>
      </c>
      <c r="E9" s="18">
        <v>205600000</v>
      </c>
      <c r="F9" s="6" t="s">
        <v>98</v>
      </c>
    </row>
    <row r="10" spans="1:6" x14ac:dyDescent="0.25">
      <c r="A10" t="s">
        <v>99</v>
      </c>
      <c r="B10" s="18">
        <v>1184000000</v>
      </c>
      <c r="C10" s="18">
        <v>1151000000</v>
      </c>
      <c r="D10" s="18">
        <v>1110400000</v>
      </c>
      <c r="E10" s="18">
        <v>1105600000</v>
      </c>
      <c r="F10" s="6" t="s">
        <v>100</v>
      </c>
    </row>
    <row r="11" spans="1:6" x14ac:dyDescent="0.25">
      <c r="A11" t="s">
        <v>101</v>
      </c>
      <c r="B11" s="18">
        <v>1633000000</v>
      </c>
      <c r="C11" s="18">
        <v>4681000000</v>
      </c>
      <c r="D11" s="18">
        <v>5215900000</v>
      </c>
      <c r="E11" s="18">
        <v>4968000000</v>
      </c>
      <c r="F11" s="6" t="s">
        <v>102</v>
      </c>
    </row>
    <row r="12" spans="1:6" x14ac:dyDescent="0.25">
      <c r="A12" t="s">
        <v>34</v>
      </c>
      <c r="B12" s="34">
        <v>420700000</v>
      </c>
      <c r="C12" s="34">
        <v>407800000</v>
      </c>
      <c r="D12" s="34">
        <v>406900000</v>
      </c>
      <c r="E12" s="34">
        <v>397752000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