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<sst xmlns="http://schemas.openxmlformats.org/spreadsheetml/2006/main" count="115" uniqueCount="103">
  <si>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CSL Limited (CSL.AX)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</si>
  <si>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</si>
  <si>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</si>
  <si>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</si>
  <si>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</si>
  <si>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</si>
  <si>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</si>
  <si>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</si>
  <si>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</si>
  <si>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</si>
  <si>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</si>
  <si>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</si>
  <si>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</si>
  <si>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</si>
  <si>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</si>
  <si>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</si>
  <si>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</si>
  <si>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</si>
  <si>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</si>
  <si>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</si>
  <si>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</si>
  <si>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</si>
  <si>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</si>
  <si>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</si>
  <si>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</si>
  <si>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</si>
  <si>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</si>
  <si>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</si>
  <si>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</si>
  <si>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</si>
  <si>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</si>
  <si>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</si>
  <si>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</si>
  <si>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</si>
  <si>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</si>
  <si>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</si>
  <si>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</si>
  <si>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</si>
  <si>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</si>
  <si>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</si>
  <si>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</si>
  <si>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</si>
  <si>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</si>
  <si>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</si>
  <si>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</si>
  <si>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</si>
  <si>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</si>
  <si>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</si>
  <si>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</si>
  <si>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</si>
  <si>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</si>
  <si>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</si>
  <si>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</si>
  <si>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</si>
  <si>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</si>
  <si>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</si>
  <si>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</si>
  <si>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</si>
  <si>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</si>
  <si>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</si>
  <si>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</si>
  <si>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</si>
  <si>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</si>
  <si>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</si>
  <si>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</si>
  <si>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</si>
  <si>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</si>
  <si>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</si>
  <si>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</si>
  <si>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</si>
  <si>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</si>
  <si>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</si>
  <si>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</si>
  <si>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</si>
  <si>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</si>
  <si>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</si>
  <si>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</si>
  <si>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</si>
  <si>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</si>
  <si>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</si>
  <si>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</si>
  <si>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</si>
  <si>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</si>
  <si>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</si>
  <si>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</si>
  <si>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</si>
  <si>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</si>
  <si>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</si>
  <si>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</si>
  <si>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</si>
  <si>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</si>
  <si>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</si>
  <si>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</si>
  <si>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</si>
  <si>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</si>
  <si>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</si>
  <si>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</si>
  <si>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</si>
  <si>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</si>
  <si>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</si>
  <si>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Capital expenditure runs at 9.0% of revenue against depreciation of 6.5%. A perpetuity has to be a steady state, so the terminal year uses maintenance capex at depreciation and then charges the reinvestment terminal growth requires (g/ROIC of NOPAT). The bridge is shown under Terminal Value.</t>
  </si>
  <si>
    <t>Current EV/EBITDA of 22.6x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</si>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</sst>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0.06017010870840367</v>
      </c>
    </row>
    <row r="7" spans="1:2" x14ac:dyDescent="0.25">
      <c r="A7" t="s">
        <v>5</v>
      </c>
      <c r="B7" s="6">
        <v>0.18425556971977847</v>
      </c>
    </row>
    <row r="8" spans="1:2" x14ac:dyDescent="0.25">
      <c r="A8" t="s">
        <v>6</v>
      </c>
      <c r="B8" s="6">
        <v>0.15789473684210525</v>
      </c>
    </row>
    <row r="9" spans="1:2" x14ac:dyDescent="0.25">
      <c r="A9" t="s">
        <v>7</v>
      </c>
      <c r="B9" s="6">
        <v>0.06478912418606124</v>
      </c>
    </row>
    <row r="10" spans="1:2" x14ac:dyDescent="0.25">
      <c r="A10" t="s">
        <v>8</v>
      </c>
      <c r="B10" s="6">
        <v>0.09038022415336572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0.08444985875820182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0.41374999999999995</v>
      </c>
      <c r="C19" s="8" t="s">
        <v>19</v>
      </c>
    </row>
    <row r="20" spans="1:2" x14ac:dyDescent="0.25">
      <c r="A20" t="s">
        <v>20</v>
      </c>
      <c r="B20" s="10">
        <f>B17+B19*B18</f>
        <v>0.078305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84262879232</v>
      </c>
    </row>
    <row r="23" spans="1:2" x14ac:dyDescent="0.25">
      <c r="A23" t="s">
        <v>24</v>
      </c>
      <c r="B23" s="11">
        <v>10896000000</v>
      </c>
    </row>
    <row r="24" spans="1:2" x14ac:dyDescent="0.25">
      <c r="A24" t="s">
        <v>25</v>
      </c>
      <c r="B24" s="10">
        <f>B22/(B22+B23)</f>
        <v>0.8854967598616283</v>
      </c>
    </row>
    <row r="25" spans="1:2" x14ac:dyDescent="0.25">
      <c r="A25" t="s">
        <v>26</v>
      </c>
      <c r="B25" s="10">
        <f>1-B24</f>
        <v>0.11450324013837165</v>
      </c>
    </row>
    <row r="26" spans="1:2" x14ac:dyDescent="0.25">
      <c r="A26" t="s">
        <v>27</v>
      </c>
      <c r="B26" s="12">
        <f>B24*B20+B25*B21*(1-B8)</f>
        <v>0.07449556759789121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15698000000</v>
      </c>
      <c r="C29" s="8" t="s">
        <v>30</v>
      </c>
    </row>
    <row r="30" spans="1:2" x14ac:dyDescent="0.25">
      <c r="A30" t="s">
        <v>31</v>
      </c>
      <c r="B30" s="11">
        <v>9383000000</v>
      </c>
    </row>
    <row r="31" spans="1:2" x14ac:dyDescent="0.25">
      <c r="A31" t="s">
        <v>32</v>
      </c>
      <c r="B31" s="13">
        <v>481980156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0.06017010870840367</v>
      </c>
      <c r="C5" s="10">
        <f>Assumptions!B6</f>
        <v>0.06017010870840367</v>
      </c>
      <c r="D5" s="10">
        <f>Assumptions!B6</f>
        <v>0.06017010870840367</v>
      </c>
      <c r="E5" s="10">
        <f>Assumptions!B6</f>
        <v>0.06017010870840367</v>
      </c>
      <c r="F5" s="10">
        <f>Assumptions!B6</f>
        <v>0.06017010870840367</v>
      </c>
    </row>
    <row r="6" spans="1:6" x14ac:dyDescent="0.25">
      <c r="A6" t="s">
        <v>43</v>
      </c>
      <c r="B6" s="18">
        <f>Assumptions!B29*(1+B5)</f>
        <v>16642550366.50452</v>
      </c>
      <c r="C6" s="18">
        <f>B6*(1+C5)</f>
        <v>17643934431.24218</v>
      </c>
      <c r="D6" s="18">
        <f>C6*(1+D5)</f>
        <v>18705571884.01397</v>
      </c>
      <c r="E6" s="18">
        <f>D6*(1+E5)</f>
        <v>19831088177.72795</v>
      </c>
      <c r="F6" s="18">
        <f>E6*(1+F5)</f>
        <v>21024326909.187782</v>
      </c>
    </row>
    <row r="7" spans="1:6" x14ac:dyDescent="0.25">
      <c r="A7" t="s">
        <v>5</v>
      </c>
      <c r="B7" s="10">
        <f>Assumptions!B7</f>
        <v>0.18425556971977847</v>
      </c>
      <c r="C7" s="10">
        <f>Assumptions!B7</f>
        <v>0.18425556971977847</v>
      </c>
      <c r="D7" s="10">
        <f>Assumptions!B7</f>
        <v>0.18425556971977847</v>
      </c>
      <c r="E7" s="10">
        <f>Assumptions!B7</f>
        <v>0.18425556971977847</v>
      </c>
      <c r="F7" s="10">
        <f>Assumptions!B7</f>
        <v>0.18425556971977847</v>
      </c>
    </row>
    <row r="8" spans="1:6" x14ac:dyDescent="0.25">
      <c r="A8" t="s">
        <v>44</v>
      </c>
      <c r="B8" s="18">
        <f>B6*B7</f>
        <v>3066482599.3703985</v>
      </c>
      <c r="C8" s="18">
        <f>C6*C7</f>
        <v>3250993190.7269435</v>
      </c>
      <c r="D8" s="18">
        <f>D6*D7</f>
        <v>3446605804.423264</v>
      </c>
      <c r="E8" s="18">
        <f>E6*E7</f>
        <v>3653988450.350427</v>
      </c>
      <c r="F8" s="18">
        <f>F6*F7</f>
        <v>3873849332.627264</v>
      </c>
    </row>
    <row r="9" spans="1:6" x14ac:dyDescent="0.25">
      <c r="A9" t="s">
        <v>45</v>
      </c>
      <c r="B9" s="18">
        <f>B8*(1-Assumptions!B8)</f>
        <v>2582301136.3119144</v>
      </c>
      <c r="C9" s="18">
        <f>C8*(1-Assumptions!B8)</f>
        <v>2737678476.4016366</v>
      </c>
      <c r="D9" s="18">
        <f>D8*(1-Assumptions!B8)</f>
        <v>2902404887.93538</v>
      </c>
      <c r="E9" s="18">
        <f>E8*(1-Assumptions!B8)</f>
        <v>3077042905.5582542</v>
      </c>
      <c r="F9" s="18">
        <f>F8*(1-Assumptions!B8)</f>
        <v>3262188911.6861167</v>
      </c>
    </row>
    <row r="10" spans="1:6" x14ac:dyDescent="0.25">
      <c r="A10" t="s">
        <v>46</v>
      </c>
      <c r="B10" s="18">
        <f>B6*Assumptions!B9</f>
        <v>1078256262.4682403</v>
      </c>
      <c r="C10" s="18">
        <f>C6*Assumptions!B9</f>
        <v>1143135058.9964714</v>
      </c>
      <c r="D10" s="18">
        <f>D6*Assumptions!B9</f>
        <v>1211917619.7646766</v>
      </c>
      <c r="E10" s="18">
        <f>E6*Assumptions!B9</f>
        <v>1284838834.6915472</v>
      </c>
      <c r="F10" s="18">
        <f>F6*Assumptions!B9</f>
        <v>1362147727.0477164</v>
      </c>
    </row>
    <row r="11" spans="1:6" x14ac:dyDescent="0.25">
      <c r="A11" t="s">
        <v>47</v>
      </c>
      <c r="B11" s="18">
        <f>-B6*Assumptions!B10</f>
        <v>-1504157432.6083574</v>
      </c>
      <c r="C11" s="18">
        <f>-C6*Assumptions!B10</f>
        <v>-1594662748.8429556</v>
      </c>
      <c r="D11" s="18">
        <f>-D6*Assumptions!B10</f>
        <v>-1690613779.794078</v>
      </c>
      <c r="E11" s="18">
        <f>-E6*Assumptions!B10</f>
        <v>-1792338194.708213</v>
      </c>
      <c r="F11" s="18">
        <f>-F6*Assumptions!B10</f>
        <v>-1900183378.7260303</v>
      </c>
    </row>
    <row r="12" spans="1:6" x14ac:dyDescent="0.25">
      <c r="A12" t="s">
        <v>48</v>
      </c>
      <c r="B12" s="18">
        <f>-(B6-Assumptions!B29)*Assumptions!B11</f>
        <v>-944550366.5045204</v>
      </c>
      <c r="C12" s="18">
        <f>-(C6-B6)*Assumptions!B11</f>
        <v>-1001384064.7376595</v>
      </c>
      <c r="D12" s="18">
        <f>-(D6-C6)*Assumptions!B11</f>
        <v>-1061637452.7717896</v>
      </c>
      <c r="E12" s="18">
        <f>-(E6-D6)*Assumptions!B11</f>
        <v>-1125516293.7139816</v>
      </c>
      <c r="F12" s="18">
        <f>-(F6-E6)*Assumptions!B11</f>
        <v>-1193238731.4598312</v>
      </c>
    </row>
    <row r="13" spans="1:6" x14ac:dyDescent="0.25">
      <c r="A13" s="19" t="s">
        <v>49</v>
      </c>
      <c r="B13" s="20">
        <f>B9+B10+B11+B12</f>
        <v>1211849599.6672769</v>
      </c>
      <c r="C13" s="20">
        <f>C9+C10+C11+C12</f>
        <v>1284766721.817493</v>
      </c>
      <c r="D13" s="20">
        <f>D9+D10+D11+D12</f>
        <v>1362071275.1341887</v>
      </c>
      <c r="E13" s="20">
        <f>E9+E10+E11+E12</f>
        <v>1444027251.8276072</v>
      </c>
      <c r="F13" s="20">
        <f>F9+F10+F11+F12</f>
        <v>1530914528.5479717</v>
      </c>
    </row>
    <row r="14" spans="1:6" x14ac:dyDescent="0.25">
      <c r="A14" t="s">
        <v>50</v>
      </c>
      <c r="B14" s="21">
        <f>1/(1+Assumptions!$B$26)^(1-0.5*Assumptions!$B$32)</f>
        <v>0.9647120113628543</v>
      </c>
      <c r="C14" s="21">
        <f>1/(1+Assumptions!$B$26)^(2-0.5*Assumptions!$B$32)</f>
        <v>0.8978278184241694</v>
      </c>
      <c r="D14" s="21">
        <f>1/(1+Assumptions!$B$26)^(3-0.5*Assumptions!$B$32)</f>
        <v>0.83558075575065</v>
      </c>
      <c r="E14" s="21">
        <f>1/(1+Assumptions!$B$26)^(4-0.5*Assumptions!$B$32)</f>
        <v>0.7776493276921079</v>
      </c>
      <c r="F14" s="21">
        <f>1/(1+Assumptions!$B$26)^(5-0.5*Assumptions!$B$32)</f>
        <v>0.723734328128125</v>
      </c>
    </row>
    <row r="15" spans="1:6" x14ac:dyDescent="0.25">
      <c r="A15" s="19" t="s">
        <v>51</v>
      </c>
      <c r="B15" s="20">
        <f>B13*B14</f>
        <v>1169085864.7642884</v>
      </c>
      <c r="C15" s="20">
        <f>C13*C14</f>
        <v>1153499303.0333714</v>
      </c>
      <c r="D15" s="20">
        <f>D13*D14</f>
        <v>1138120545.462877</v>
      </c>
      <c r="E15" s="20">
        <f>E13*E14</f>
        <v>1122946821.552821</v>
      </c>
      <c r="F15" s="20">
        <f>F13*F14</f>
        <v>1107975397.7402515</v>
      </c>
    </row>
    <row r="17" spans="1:2" x14ac:dyDescent="0.25">
      <c r="A17" s="22" t="s">
        <v>52</v>
      </c>
      <c r="B17" s="23">
        <f>SUM(B15:F15)</f>
        <v>5691627932.55361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1530914528.5479717</v>
      </c>
    </row>
    <row r="5" spans="1:2" x14ac:dyDescent="0.25">
      <c r="A5" t="s">
        <v>56</v>
      </c>
      <c r="B5" s="18">
        <f>IF(Assumptions!$B$33=0,B4,B4-Forecast!F11-Forecast!F10-Forecast!F12)</f>
        <v>3262188911.6861167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0.29603365082682254</v>
      </c>
    </row>
    <row r="7" spans="1:2" x14ac:dyDescent="0.25">
      <c r="A7" t="s">
        <v>58</v>
      </c>
      <c r="B7" s="18">
        <f>-MAX(Forecast!F9,0)*B6</f>
        <v>-965717693.2132201</v>
      </c>
    </row>
    <row r="8" spans="1:2" x14ac:dyDescent="0.25">
      <c r="A8" t="s">
        <v>59</v>
      </c>
      <c r="B8" s="18">
        <f>IF(OR(Assumptions!$B$33=0,Assumptions!B12&lt;=0),B5,MAX(B5+B7,0))</f>
        <v>2296471218.4728966</v>
      </c>
    </row>
    <row r="9" spans="1:2" x14ac:dyDescent="0.25">
      <c r="A9" t="s">
        <v>60</v>
      </c>
      <c r="B9" s="18">
        <f>B8*(1+Assumptions!B12)/(Assumptions!B26-Assumptions!B12)</f>
        <v>47557450357.130714</v>
      </c>
    </row>
    <row r="10" spans="1:2" x14ac:dyDescent="0.25">
      <c r="A10" t="s">
        <v>61</v>
      </c>
      <c r="B10" s="18">
        <f>B9/(1+Assumptions!B26)^(5-0.5*Assumptions!B32)</f>
        <v>34418959381.70466</v>
      </c>
    </row>
    <row r="11" spans="1:2" x14ac:dyDescent="0.25">
      <c r="A11" t="s">
        <v>62</v>
      </c>
      <c r="B11" s="18">
        <f>Forecast!B17+B10</f>
        <v>40110587314.25827</v>
      </c>
    </row>
    <row r="12" spans="1:2" x14ac:dyDescent="0.25">
      <c r="A12" t="s">
        <v>63</v>
      </c>
      <c r="B12" s="18">
        <f>-Assumptions!B30</f>
        <v>-9383000000</v>
      </c>
    </row>
    <row r="13" spans="1:2" x14ac:dyDescent="0.25">
      <c r="A13" t="s">
        <v>64</v>
      </c>
      <c r="B13" s="18">
        <f>B11+B12</f>
        <v>30727587314.25827</v>
      </c>
    </row>
    <row r="14" spans="1:2" x14ac:dyDescent="0.25">
      <c r="A14" s="19" t="s">
        <v>65</v>
      </c>
      <c r="B14" s="24">
        <f>B13/Assumptions!B31</f>
        <v>63.75280586086675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5235997059.67498</v>
      </c>
    </row>
    <row r="18" spans="1:2" x14ac:dyDescent="0.25">
      <c r="A18" t="s">
        <v>60</v>
      </c>
      <c r="B18" s="18">
        <f>B17*Assumptions!B13</f>
        <v>104719941193.4996</v>
      </c>
    </row>
    <row r="19" spans="1:2" x14ac:dyDescent="0.25">
      <c r="A19" t="s">
        <v>61</v>
      </c>
      <c r="B19" s="18">
        <f>B18/(1+Assumptions!B26)^(5-0.5*Assumptions!B32)</f>
        <v>75789416281.29419</v>
      </c>
    </row>
    <row r="20" spans="1:2" x14ac:dyDescent="0.25">
      <c r="A20" t="s">
        <v>62</v>
      </c>
      <c r="B20" s="18">
        <f>Forecast!B17+B19</f>
        <v>81481044213.8478</v>
      </c>
    </row>
    <row r="21" spans="1:2" x14ac:dyDescent="0.25">
      <c r="A21" t="s">
        <v>63</v>
      </c>
      <c r="B21" s="18">
        <f>-Assumptions!B30</f>
        <v>-9383000000</v>
      </c>
    </row>
    <row r="22" spans="1:2" x14ac:dyDescent="0.25">
      <c r="A22" t="s">
        <v>64</v>
      </c>
      <c r="B22" s="18">
        <f>B20+B21</f>
        <v>72098044213.8478</v>
      </c>
    </row>
    <row r="23" spans="1:2" x14ac:dyDescent="0.25">
      <c r="A23" s="19" t="s">
        <v>65</v>
      </c>
      <c r="B23" s="25">
        <f>B22/Assumptions!B31</f>
        <v>149.58716311517148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175.59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89.52168998982908</v>
      </c>
    </row>
    <row r="29" spans="1:2" x14ac:dyDescent="0.25">
      <c r="A29" s="19" t="s">
        <v>73</v>
      </c>
      <c r="B29" s="12">
        <f>B28/B26-1</f>
        <v>-0.4901663534949081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0.054496</v>
      </c>
      <c r="B5" s="31">
        <v>105.56554540645271</v>
      </c>
      <c r="C5" s="31">
        <v>113.19801275652215</v>
      </c>
      <c r="D5" s="31">
        <v>123.31110756894587</v>
      </c>
      <c r="E5" s="31">
        <v>137.42382935120747</v>
      </c>
      <c r="F5" s="31">
        <v>158.6134454682827</v>
      </c>
    </row>
    <row r="6" spans="1:6" x14ac:dyDescent="0.25">
      <c r="A6" s="30">
        <v>0.064496</v>
      </c>
      <c r="B6" s="31">
        <v>78.77744437373566</v>
      </c>
      <c r="C6" s="31">
        <v>81.99723968018291</v>
      </c>
      <c r="D6" s="31">
        <v>85.95566952725899</v>
      </c>
      <c r="E6" s="31">
        <v>90.9739166059841</v>
      </c>
      <c r="F6" s="31">
        <v>97.59094411390147</v>
      </c>
    </row>
    <row r="7" spans="1:6" x14ac:dyDescent="0.25">
      <c r="A7" s="30">
        <v>0.074496</v>
      </c>
      <c r="B7" s="31">
        <v>61.0653226568775</v>
      </c>
      <c r="C7" s="31">
        <v>62.31203817243302</v>
      </c>
      <c r="D7" s="32">
        <v>63.75204093098552</v>
      </c>
      <c r="E7" s="31">
        <v>65.4504897927686</v>
      </c>
      <c r="F7" s="31">
        <v>67.5055387872652</v>
      </c>
    </row>
    <row r="8" spans="1:6" x14ac:dyDescent="0.25">
      <c r="A8" s="30">
        <v>0.084496</v>
      </c>
      <c r="B8" s="31">
        <v>48.51436008808945</v>
      </c>
      <c r="C8" s="31">
        <v>48.792387750406284</v>
      </c>
      <c r="D8" s="31">
        <v>49.070415412723094</v>
      </c>
      <c r="E8" s="31">
        <v>49.34844307503993</v>
      </c>
      <c r="F8" s="31">
        <v>49.62647073735676</v>
      </c>
    </row>
    <row r="9" spans="1:6" x14ac:dyDescent="0.25">
      <c r="A9" s="30">
        <v>0.094496</v>
      </c>
      <c r="B9" s="31">
        <v>40.24345413148147</v>
      </c>
      <c r="C9" s="31">
        <v>40.482000453102444</v>
      </c>
      <c r="D9" s="31">
        <v>40.72054677472341</v>
      </c>
      <c r="E9" s="31">
        <v>40.959093096344404</v>
      </c>
      <c r="F9" s="31">
        <v>41.197639417965384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15698000000</v>
      </c>
      <c r="C5" s="18">
        <v>15430000000</v>
      </c>
      <c r="D5" s="18">
        <v>14690000000</v>
      </c>
      <c r="E5" s="18">
        <v>13174000000</v>
      </c>
      <c r="F5" s="8" t="s">
        <v>84</v>
      </c>
    </row>
    <row r="6" spans="1:6" x14ac:dyDescent="0.25">
      <c r="A6" t="s">
        <v>44</v>
      </c>
      <c r="B6" s="18">
        <v>3101000000</v>
      </c>
      <c r="C6" s="18">
        <v>2959000000</v>
      </c>
      <c r="D6" s="18">
        <v>2764000000</v>
      </c>
      <c r="E6" s="18">
        <v>2102000000</v>
      </c>
      <c r="F6" s="8" t="s">
        <v>85</v>
      </c>
    </row>
    <row r="7" spans="1:6" x14ac:dyDescent="0.25">
      <c r="A7" t="s">
        <v>86</v>
      </c>
      <c r="B7" s="18">
        <v>1041000000</v>
      </c>
      <c r="C7" s="18">
        <v>1017000000</v>
      </c>
      <c r="D7" s="18">
        <v>938000000</v>
      </c>
      <c r="E7" s="18">
        <v>831000000</v>
      </c>
      <c r="F7" s="8" t="s">
        <v>87</v>
      </c>
    </row>
    <row r="8" spans="1:6" x14ac:dyDescent="0.25">
      <c r="A8" t="s">
        <v>88</v>
      </c>
      <c r="B8" s="18">
        <v>1280000000</v>
      </c>
      <c r="C8" s="18">
        <v>1017000000</v>
      </c>
      <c r="D8" s="18">
        <v>1258000000</v>
      </c>
      <c r="E8" s="18">
        <v>1692000000</v>
      </c>
      <c r="F8" s="8" t="s">
        <v>89</v>
      </c>
    </row>
    <row r="9" spans="1:6" x14ac:dyDescent="0.25">
      <c r="A9" t="s">
        <v>90</v>
      </c>
      <c r="B9" s="18">
        <v>601000000</v>
      </c>
      <c r="C9" s="18">
        <v>758000000</v>
      </c>
      <c r="D9" s="18">
        <v>1113000000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10896000000</v>
      </c>
      <c r="C10" s="18">
        <v>11498000000</v>
      </c>
      <c r="D10" s="18">
        <v>12183000000</v>
      </c>
      <c r="E10" s="18">
        <v>12227000000</v>
      </c>
      <c r="F10" s="8" t="s">
        <v>93</v>
      </c>
    </row>
    <row r="11" spans="1:6" x14ac:dyDescent="0.25">
      <c r="A11" t="s">
        <v>94</v>
      </c>
      <c r="B11" s="18">
        <v>1513000000</v>
      </c>
      <c r="C11" s="18">
        <v>2157000000</v>
      </c>
      <c r="D11" s="18">
        <v>1657000000</v>
      </c>
      <c r="E11" s="18">
        <v>1548000000</v>
      </c>
      <c r="F11" s="8" t="s">
        <v>95</v>
      </c>
    </row>
    <row r="12" spans="1:6" x14ac:dyDescent="0.25">
      <c r="A12" t="s">
        <v>32</v>
      </c>
      <c r="B12" s="34">
        <v>481980156</v>
      </c>
      <c r="C12" s="34">
        <v>486547812</v>
      </c>
      <c r="D12" s="34">
        <v>484770642</v>
      </c>
      <c r="E12" s="34">
        <v>484326711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2026-09-19T00:06:11Z</dcterms:modified>
</cp:coreProperties>
</file>