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<sst xmlns="http://schemas.openxmlformats.org/spreadsheetml/2006/main" count="120" uniqueCount="107">
  <si>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CSX Corporation (CSX)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</si>
  <si>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</si>
  <si>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</si>
  <si>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</si>
  <si>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</si>
  <si>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</si>
  <si>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</si>
  <si>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</si>
  <si>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</si>
  <si>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</si>
  <si>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</si>
  <si>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</si>
  <si>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</si>
  <si>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</si>
  <si>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</si>
  <si>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</si>
  <si>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</si>
  <si>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</si>
  <si>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</si>
  <si>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</si>
  <si>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</si>
  <si>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</si>
  <si>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</si>
  <si>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</si>
  <si>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+ 70bp, the spread for a A+ rating at 5.6x interest cover. Book interest / average debt was lower, at 4.4%.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</si>
  <si>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</si>
  <si>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</si>
  <si>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</si>
  <si>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</si>
  <si>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</si>
  <si>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</si>
  <si>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</si>
  <si>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</si>
  <si>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</si>
  <si>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</si>
  <si>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</si>
  <si>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</si>
  <si>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</si>
  <si>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</si>
  <si>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</si>
  <si>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</si>
  <si>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</si>
  <si>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</si>
  <si>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</si>
  <si>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</si>
  <si>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</si>
  <si>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</si>
  <si>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</si>
  <si>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</si>
  <si>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</si>
  <si>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</si>
  <si>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</si>
  <si>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</si>
  <si>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</si>
  <si>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</si>
  <si>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</si>
  <si>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</si>
  <si>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</si>
  <si>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</si>
  <si>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</si>
  <si>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</si>
  <si>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</si>
  <si>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</si>
  <si>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</si>
  <si>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</si>
  <si>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</si>
  <si>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</si>
  <si>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</si>
  <si>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</si>
  <si>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</si>
  <si>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</si>
  <si>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</si>
  <si>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</si>
  <si>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</si>
  <si>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</si>
  <si>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</si>
  <si>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</si>
  <si>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</si>
  <si>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</si>
  <si>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</si>
  <si>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</si>
  <si>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</si>
  <si>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</si>
  <si>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</si>
  <si>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</si>
  <si>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</si>
  <si>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</si>
  <si>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</si>
  <si>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</si>
  <si>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</si>
  <si>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</si>
  <si>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</si>
  <si>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</si>
  <si>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</si>
  <si>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</si>
  <si>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</si>
  <si>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</si>
  <si>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</si>
  <si>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</si>
  <si>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</si>
  <si>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</si>
  <si>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</si>
  <si>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</si>
  <si>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</si>
  <si>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</si>
  <si>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16.9% of revenue against depreciation of 11.1%.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</si>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</sst>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0.09353767243826283</v>
      </c>
    </row>
    <row r="7" spans="1:2" x14ac:dyDescent="0.25">
      <c r="A7" t="s">
        <v>4</v>
      </c>
      <c r="B7" s="5">
        <v>0.3684275068944275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0.1110029087376415</v>
      </c>
    </row>
    <row r="10" spans="1:3" x14ac:dyDescent="0.25">
      <c r="A10" t="s">
        <v>7</v>
      </c>
      <c r="B10" s="5">
        <v>0.16902877438551883</v>
      </c>
      <c r="C10" s="6" t="s">
        <v>8</v>
      </c>
    </row>
    <row r="11" spans="1:2" x14ac:dyDescent="0.25">
      <c r="A11" t="s">
        <v>9</v>
      </c>
      <c r="B11" s="5">
        <v>0.016734074207417356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17.865231174742107</v>
      </c>
    </row>
    <row r="14" spans="1:3" x14ac:dyDescent="0.25">
      <c r="A14" t="s">
        <v>12</v>
      </c>
      <c r="B14" s="5">
        <v>0.14039520469920813</v>
      </c>
      <c r="C14" s="6" t="s">
        <v>13</v>
      </c>
    </row>
    <row r="15" spans="1:3" x14ac:dyDescent="0.25">
      <c r="A15" t="s">
        <v>14</v>
      </c>
      <c r="B15" s="5">
        <v>0.1110029087376415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1.0723600000000002</v>
      </c>
      <c r="C19" s="6" t="s">
        <v>21</v>
      </c>
    </row>
    <row r="20" spans="1:2" x14ac:dyDescent="0.25">
      <c r="A20" t="s">
        <v>22</v>
      </c>
      <c r="B20" s="9">
        <f>B17+B19*B18</f>
        <v>0.094300828</v>
      </c>
    </row>
    <row r="21" spans="1:3" x14ac:dyDescent="0.25">
      <c r="A21" t="s">
        <v>23</v>
      </c>
      <c r="B21" s="5">
        <v>0.055940000000000004</v>
      </c>
      <c r="C21" s="6" t="s">
        <v>24</v>
      </c>
    </row>
    <row r="22" spans="1:2" x14ac:dyDescent="0.25">
      <c r="A22" t="s">
        <v>25</v>
      </c>
      <c r="B22" s="10">
        <v>95624749056</v>
      </c>
    </row>
    <row r="23" spans="1:2" x14ac:dyDescent="0.25">
      <c r="A23" t="s">
        <v>26</v>
      </c>
      <c r="B23" s="10">
        <v>19352000000</v>
      </c>
    </row>
    <row r="24" spans="1:2" x14ac:dyDescent="0.25">
      <c r="A24" t="s">
        <v>27</v>
      </c>
      <c r="B24" s="9">
        <f>B22/(B22+B23)</f>
        <v>0.8316877093944054</v>
      </c>
    </row>
    <row r="25" spans="1:2" x14ac:dyDescent="0.25">
      <c r="A25" t="s">
        <v>28</v>
      </c>
      <c r="B25" s="9">
        <f>1-B24</f>
        <v>0.1683122906055946</v>
      </c>
    </row>
    <row r="26" spans="1:2" x14ac:dyDescent="0.25">
      <c r="A26" t="s">
        <v>29</v>
      </c>
      <c r="B26" s="11">
        <f>B24*B20+B25*B21*(1-B8)</f>
        <v>0.08586699736713262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14092000000</v>
      </c>
      <c r="C29" s="6" t="s">
        <v>32</v>
      </c>
    </row>
    <row r="30" spans="1:2" x14ac:dyDescent="0.25">
      <c r="A30" t="s">
        <v>33</v>
      </c>
      <c r="B30" s="10">
        <v>18677000000</v>
      </c>
    </row>
    <row r="31" spans="1:2" x14ac:dyDescent="0.25">
      <c r="A31" t="s">
        <v>34</v>
      </c>
      <c r="B31" s="12">
        <v>1873000000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0.09353767243826283</v>
      </c>
      <c r="C5" s="5">
        <v>0.055798073689290684</v>
      </c>
      <c r="D5" s="5">
        <v>0.05194831447812935</v>
      </c>
      <c r="E5" s="5">
        <v>0.04809855526696801</v>
      </c>
      <c r="F5" s="5">
        <v>0.04424879605580668</v>
      </c>
      <c r="G5" s="5">
        <v>0.04039903684464534</v>
      </c>
      <c r="H5" s="5">
        <v>0.036549277633484006</v>
      </c>
      <c r="I5" s="5">
        <v>0.032699518422322674</v>
      </c>
      <c r="J5" s="5">
        <v>0.028849759211161338</v>
      </c>
      <c r="K5" s="5">
        <v>0.025</v>
      </c>
    </row>
    <row r="6" spans="1:11" x14ac:dyDescent="0.25">
      <c r="A6" t="s">
        <v>50</v>
      </c>
      <c r="B6" s="18">
        <f>Assumptions!B29*(1+B5)</f>
        <v>15410132880</v>
      </c>
      <c r="C6" s="18">
        <f>B6*(1+C5)</f>
        <v>16269988610.000002</v>
      </c>
      <c r="D6" s="18">
        <f>C6*(1+D5)</f>
        <v>17115187094.867867</v>
      </c>
      <c r="E6" s="18">
        <f>D6*(1+E5)</f>
        <v>17938402867.254864</v>
      </c>
      <c r="F6" s="18">
        <f>E6*(1+F5)</f>
        <v>18732155597.29492</v>
      </c>
      <c r="G6" s="18">
        <f>F6*(1+G5)</f>
        <v>19488916641.44967</v>
      </c>
      <c r="H6" s="18">
        <f>G6*(1+H5)</f>
        <v>20201222466.553837</v>
      </c>
      <c r="I6" s="18">
        <f>H6*(1+I5)</f>
        <v>20861792712.752354</v>
      </c>
      <c r="J6" s="18">
        <f>I6*(1+J5)</f>
        <v>21463650409.22842</v>
      </c>
      <c r="K6" s="18">
        <f>J6*(1+K5)</f>
        <v>22000241669.45913</v>
      </c>
    </row>
    <row r="7" spans="1:11" x14ac:dyDescent="0.25">
      <c r="A7" t="s">
        <v>4</v>
      </c>
      <c r="B7" s="9">
        <f>Assumptions!B7</f>
        <v>0.3684275068944275</v>
      </c>
      <c r="C7" s="9">
        <f>Assumptions!B7</f>
        <v>0.3684275068944275</v>
      </c>
      <c r="D7" s="9">
        <f>Assumptions!B7</f>
        <v>0.3684275068944275</v>
      </c>
      <c r="E7" s="9">
        <f>Assumptions!B7</f>
        <v>0.3684275068944275</v>
      </c>
      <c r="F7" s="9">
        <f>Assumptions!B7</f>
        <v>0.3684275068944275</v>
      </c>
      <c r="G7" s="9">
        <f>Assumptions!B7</f>
        <v>0.3684275068944275</v>
      </c>
      <c r="H7" s="9">
        <f>Assumptions!B7</f>
        <v>0.3684275068944275</v>
      </c>
      <c r="I7" s="9">
        <f>Assumptions!B7</f>
        <v>0.3684275068944275</v>
      </c>
      <c r="J7" s="9">
        <f>Assumptions!B7</f>
        <v>0.3684275068944275</v>
      </c>
      <c r="K7" s="9">
        <f>Assumptions!B7</f>
        <v>0.3684275068944275</v>
      </c>
    </row>
    <row r="8" spans="1:11" x14ac:dyDescent="0.25">
      <c r="A8" t="s">
        <v>51</v>
      </c>
      <c r="B8" s="18">
        <f>B6*B7</f>
        <v>5677516837.890244</v>
      </c>
      <c r="C8" s="18">
        <f>C6*C7</f>
        <v>5994311340.783032</v>
      </c>
      <c r="D8" s="18">
        <f>D6*D7</f>
        <v>6305705711.393847</v>
      </c>
      <c r="E8" s="18">
        <f>E6*E7</f>
        <v>6609001046.050559</v>
      </c>
      <c r="F8" s="18">
        <f>F6*F7</f>
        <v>6901441385.469863</v>
      </c>
      <c r="G8" s="18">
        <f>G6*G7</f>
        <v>7180252970.28262</v>
      </c>
      <c r="H8" s="18">
        <f>H6*H7</f>
        <v>7442686029.572127</v>
      </c>
      <c r="I8" s="18">
        <f>I6*I7</f>
        <v>7686058278.507685</v>
      </c>
      <c r="J8" s="18">
        <f>J6*J7</f>
        <v>7907799209.125586</v>
      </c>
      <c r="K8" s="18">
        <f>K6*K7</f>
        <v>8105494189.3537245</v>
      </c>
    </row>
    <row r="9" spans="1:11" x14ac:dyDescent="0.25">
      <c r="A9" t="s">
        <v>52</v>
      </c>
      <c r="B9" s="18">
        <f>B8*(1-Assumptions!B8)</f>
        <v>4485238301.933292</v>
      </c>
      <c r="C9" s="18">
        <f>C8*(1-Assumptions!B8)</f>
        <v>4735505959.2185955</v>
      </c>
      <c r="D9" s="18">
        <f>D8*(1-Assumptions!B8)</f>
        <v>4981507512.00114</v>
      </c>
      <c r="E9" s="18">
        <f>E8*(1-Assumptions!B8)</f>
        <v>5221110826.379942</v>
      </c>
      <c r="F9" s="18">
        <f>F8*(1-Assumptions!B8)</f>
        <v>5452138694.521192</v>
      </c>
      <c r="G9" s="18">
        <f>G8*(1-Assumptions!B8)</f>
        <v>5672399846.523271</v>
      </c>
      <c r="H9" s="18">
        <f>H8*(1-Assumptions!B8)</f>
        <v>5879721963.36198</v>
      </c>
      <c r="I9" s="18">
        <f>I8*(1-Assumptions!B8)</f>
        <v>6071986040.021071</v>
      </c>
      <c r="J9" s="18">
        <f>J8*(1-Assumptions!B8)</f>
        <v>6247161375.209213</v>
      </c>
      <c r="K9" s="18">
        <f>K8*(1-Assumptions!B8)</f>
        <v>6403340409.589442</v>
      </c>
    </row>
    <row r="10" spans="1:11" x14ac:dyDescent="0.25">
      <c r="A10" t="s">
        <v>53</v>
      </c>
      <c r="B10" s="18">
        <f>B6*Assumptions!B9</f>
        <v>1710569573.7135687</v>
      </c>
      <c r="C10" s="18">
        <f>C6*Assumptions!B9</f>
        <v>1806016060.838297</v>
      </c>
      <c r="D10" s="18">
        <f>D6*Assumptions!B9</f>
        <v>1899835551.1192772</v>
      </c>
      <c r="E10" s="18">
        <f>E6*Assumptions!B9</f>
        <v>1991214896.3729382</v>
      </c>
      <c r="F10" s="18">
        <f>F6*Assumptions!B9</f>
        <v>2079323758.2258286</v>
      </c>
      <c r="G10" s="18">
        <f>G6*Assumptions!B9</f>
        <v>2163326435.34634</v>
      </c>
      <c r="H10" s="18">
        <f>H6*Assumptions!B9</f>
        <v>2242394453.8436685</v>
      </c>
      <c r="I10" s="18">
        <f>I6*Assumptions!B9</f>
        <v>2315719672.5972443</v>
      </c>
      <c r="J10" s="18">
        <f>J6*Assumptions!B9</f>
        <v>2382527627.552224</v>
      </c>
      <c r="K10" s="18">
        <f>K6*Assumptions!B9</f>
        <v>2442090818.2410293</v>
      </c>
    </row>
    <row r="11" spans="1:11" x14ac:dyDescent="0.25">
      <c r="A11" t="s">
        <v>54</v>
      </c>
      <c r="B11" s="18">
        <f>-B6*B19</f>
        <v>-2604755873.8243856</v>
      </c>
      <c r="C11" s="18">
        <f>-C6*C19</f>
        <v>-2738892400.7471237</v>
      </c>
      <c r="D11" s="18">
        <f>-D6*D19</f>
        <v>-2869387390.9814243</v>
      </c>
      <c r="E11" s="18">
        <f>-E6*E19</f>
        <v>-2995048042.9404445</v>
      </c>
      <c r="F11" s="18">
        <f>-F6*F19</f>
        <v>-3114675983.2232795</v>
      </c>
      <c r="G11" s="18">
        <f>-G6*G19</f>
        <v>-3227085442.7843666</v>
      </c>
      <c r="H11" s="18">
        <f>-H6*H19</f>
        <v>-3331122126.573439</v>
      </c>
      <c r="I11" s="18">
        <f>-I6*I19</f>
        <v>-3425682376.28451</v>
      </c>
      <c r="J11" s="18">
        <f>-J6*J19</f>
        <v>-3509732197.326112</v>
      </c>
      <c r="K11" s="18">
        <f>-K6*K19</f>
        <v>-3582325704.344935</v>
      </c>
    </row>
    <row r="12" spans="1:11" x14ac:dyDescent="0.25">
      <c r="A12" t="s">
        <v>55</v>
      </c>
      <c r="B12" s="18">
        <f>-(B6-Assumptions!B29)*Assumptions!B11</f>
        <v>-22057733.429156758</v>
      </c>
      <c r="C12" s="18">
        <f>-(C6-B6)*Assumptions!B11</f>
        <v>-14388889.593493054</v>
      </c>
      <c r="D12" s="18">
        <f>-(D6-C6)*Assumptions!B11</f>
        <v>-14143614.165775562</v>
      </c>
      <c r="E12" s="18">
        <f>-(E6-D6)*Assumptions!B11</f>
        <v>-13775753.823840408</v>
      </c>
      <c r="F12" s="18">
        <f>-(F6-E6)*Assumptions!B11</f>
        <v>-13282717.086830448</v>
      </c>
      <c r="G12" s="18">
        <f>-(G6-F6)*Assumptions!B11</f>
        <v>-12663695.470168179</v>
      </c>
      <c r="H12" s="18">
        <f>-(H6-G6)*Assumptions!B11</f>
        <v>-11919778.535668794</v>
      </c>
      <c r="I12" s="18">
        <f>-(I6-H6)*Assumptions!B11</f>
        <v>-11054031.519097934</v>
      </c>
      <c r="J12" s="18">
        <f>-(J6-I6)*Assumptions!B11</f>
        <v>-10071531.355135769</v>
      </c>
      <c r="K12" s="18">
        <f>-(K6-J6)*Assumptions!B11</f>
        <v>-8979357.967752283</v>
      </c>
    </row>
    <row r="13" spans="1:11" x14ac:dyDescent="0.25">
      <c r="A13" s="19" t="s">
        <v>56</v>
      </c>
      <c r="B13" s="20">
        <f>B9+B10+B11+B12</f>
        <v>3568994268.3933187</v>
      </c>
      <c r="C13" s="20">
        <f>C9+C10+C11+C12</f>
        <v>3788240729.7162757</v>
      </c>
      <c r="D13" s="20">
        <f>D9+D10+D11+D12</f>
        <v>3997812057.9732165</v>
      </c>
      <c r="E13" s="20">
        <f>E9+E10+E11+E12</f>
        <v>4203501925.988595</v>
      </c>
      <c r="F13" s="20">
        <f>F9+F10+F11+F12</f>
        <v>4403503752.436911</v>
      </c>
      <c r="G13" s="20">
        <f>G9+G10+G11+G12</f>
        <v>4595977143.615076</v>
      </c>
      <c r="H13" s="20">
        <f>H9+H10+H11+H12</f>
        <v>4779074512.096541</v>
      </c>
      <c r="I13" s="20">
        <f>I9+I10+I11+I12</f>
        <v>4950969304.814707</v>
      </c>
      <c r="J13" s="20">
        <f>J9+J10+J11+J12</f>
        <v>5109885274.080189</v>
      </c>
      <c r="K13" s="20">
        <f>K9+K10+K11+K12</f>
        <v>5254126165.517784</v>
      </c>
    </row>
    <row r="14" spans="1:11" x14ac:dyDescent="0.25">
      <c r="A14" t="s">
        <v>57</v>
      </c>
      <c r="B14" s="21">
        <f>1/(1+Assumptions!$B$26)^(1-0.5*Assumptions!$B$32)</f>
        <v>0.9596473824837516</v>
      </c>
      <c r="C14" s="21">
        <f>1/(1+Assumptions!$B$26)^(2-0.5*Assumptions!$B$32)</f>
        <v>0.8837614411438769</v>
      </c>
      <c r="D14" s="21">
        <f>1/(1+Assumptions!$B$26)^(3-0.5*Assumptions!$B$32)</f>
        <v>0.8138763248967924</v>
      </c>
      <c r="E14" s="21">
        <f>1/(1+Assumptions!$B$26)^(4-0.5*Assumptions!$B$32)</f>
        <v>0.7495175070889645</v>
      </c>
      <c r="F14" s="21">
        <f>1/(1+Assumptions!$B$26)^(5-0.5*Assumptions!$B$32)</f>
        <v>0.6902479851642014</v>
      </c>
      <c r="G14" s="21">
        <f>1/(1+Assumptions!$B$26)^(6-0.5*Assumptions!$B$32)</f>
        <v>0.6356653133743118</v>
      </c>
      <c r="H14" s="21">
        <f>1/(1+Assumptions!$B$26)^(7-0.5*Assumptions!$B$32)</f>
        <v>0.5853988701338095</v>
      </c>
      <c r="I14" s="21">
        <f>1/(1+Assumptions!$B$26)^(8-0.5*Assumptions!$B$32)</f>
        <v>0.5391073414637406</v>
      </c>
      <c r="J14" s="21">
        <f>1/(1+Assumptions!$B$26)^(9-0.5*Assumptions!$B$32)</f>
        <v>0.49647640343697447</v>
      </c>
      <c r="K14" s="21">
        <f>1/(1+Assumptions!$B$26)^(10-0.5*Assumptions!$B$32)</f>
        <v>0.45721658788853986</v>
      </c>
    </row>
    <row r="15" spans="1:11" x14ac:dyDescent="0.25">
      <c r="A15" s="19" t="s">
        <v>58</v>
      </c>
      <c r="B15" s="20">
        <f>B13*B14</f>
        <v>3424976007.76316</v>
      </c>
      <c r="C15" s="20">
        <f>C13*C14</f>
        <v>3347901086.693988</v>
      </c>
      <c r="D15" s="20">
        <f>D13*D14</f>
        <v>3253724585.371324</v>
      </c>
      <c r="E15" s="20">
        <f>E13*E14</f>
        <v>3150598284.6106324</v>
      </c>
      <c r="F15" s="20">
        <f>F13*F14</f>
        <v>3039509592.782578</v>
      </c>
      <c r="G15" s="20">
        <f>G13*G14</f>
        <v>2921503251.2572517</v>
      </c>
      <c r="H15" s="20">
        <f>H13*H14</f>
        <v>2797664819.6666026</v>
      </c>
      <c r="I15" s="20">
        <f>I13*I14</f>
        <v>2669103899.5872407</v>
      </c>
      <c r="J15" s="20">
        <f>J13*J14</f>
        <v>2536937462.8508906</v>
      </c>
      <c r="K15" s="20">
        <f>K13*K14</f>
        <v>2402273637.7339387</v>
      </c>
    </row>
    <row r="17" spans="1:2" x14ac:dyDescent="0.25">
      <c r="A17" s="22" t="s">
        <v>59</v>
      </c>
      <c r="B17" s="23">
        <f>SUM(B15:K15)</f>
        <v>29544192628.31761</v>
      </c>
    </row>
    <row r="19" spans="1:11" x14ac:dyDescent="0.25">
      <c r="A19" t="s">
        <v>7</v>
      </c>
      <c r="B19" s="9">
        <f>Assumptions!$B$10+($B$20-Assumptions!$B$10)*0/9</f>
        <v>0.16902877438551883</v>
      </c>
      <c r="C19" s="9">
        <f>Assumptions!$B$10+($B$20-Assumptions!$B$10)*1/9</f>
        <v>0.1683401547720643</v>
      </c>
      <c r="D19" s="9">
        <f>Assumptions!$B$10+($B$20-Assumptions!$B$10)*2/9</f>
        <v>0.16765153515860978</v>
      </c>
      <c r="E19" s="9">
        <f>Assumptions!$B$10+($B$20-Assumptions!$B$10)*3/9</f>
        <v>0.16696291554515524</v>
      </c>
      <c r="F19" s="9">
        <f>Assumptions!$B$10+($B$20-Assumptions!$B$10)*4/9</f>
        <v>0.1662742959317007</v>
      </c>
      <c r="G19" s="9">
        <f>Assumptions!$B$10+($B$20-Assumptions!$B$10)*5/9</f>
        <v>0.1655856763182462</v>
      </c>
      <c r="H19" s="9">
        <f>Assumptions!$B$10+($B$20-Assumptions!$B$10)*6/9</f>
        <v>0.16489705670479166</v>
      </c>
      <c r="I19" s="9">
        <f>Assumptions!$B$10+($B$20-Assumptions!$B$10)*7/9</f>
        <v>0.16420843709133712</v>
      </c>
      <c r="J19" s="9">
        <f>Assumptions!$B$10+($B$20-Assumptions!$B$10)*8/9</f>
        <v>0.1635198174778826</v>
      </c>
      <c r="K19" s="9">
        <f>Assumptions!$B$10+($B$20-Assumptions!$B$10)*9/9</f>
        <v>0.16283119786442807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0.16283119786442807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5254126165.517784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6403340409.589442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0.17806875992354324</v>
      </c>
    </row>
    <row r="7" spans="1:2" x14ac:dyDescent="0.25">
      <c r="A7" t="s">
        <v>66</v>
      </c>
      <c r="B7" s="18">
        <f>-MAX(B5,0)*B6</f>
        <v>-1140234886.1039054</v>
      </c>
    </row>
    <row r="8" spans="1:2" x14ac:dyDescent="0.25">
      <c r="A8" t="s">
        <v>67</v>
      </c>
      <c r="B8" s="18">
        <f>IF(OR(Assumptions!$B$33=0,Assumptions!B12&lt;=0),B5,MAX(B5+B7,0))</f>
        <v>5263105523.485537</v>
      </c>
    </row>
    <row r="9" spans="1:2" x14ac:dyDescent="0.25">
      <c r="A9" t="s">
        <v>68</v>
      </c>
      <c r="B9" s="18">
        <f>B8*(1+Assumptions!B12)/(Assumptions!B26-Assumptions!B12)</f>
        <v>88630676638.00569</v>
      </c>
    </row>
    <row r="10" spans="1:2" x14ac:dyDescent="0.25">
      <c r="A10" t="s">
        <v>69</v>
      </c>
      <c r="B10" s="18">
        <f>B9/(1+Assumptions!B26)^(10-0.5*Assumptions!B32)</f>
        <v>40523415554.68149</v>
      </c>
    </row>
    <row r="11" spans="1:2" x14ac:dyDescent="0.25">
      <c r="A11" t="s">
        <v>70</v>
      </c>
      <c r="B11" s="18">
        <f>Forecast!B17+B10</f>
        <v>70067608182.9991</v>
      </c>
    </row>
    <row r="12" spans="1:2" x14ac:dyDescent="0.25">
      <c r="A12" t="s">
        <v>71</v>
      </c>
      <c r="B12" s="18">
        <f>-Assumptions!B30</f>
        <v>-18677000000</v>
      </c>
    </row>
    <row r="13" spans="1:2" x14ac:dyDescent="0.25">
      <c r="A13" t="s">
        <v>72</v>
      </c>
      <c r="B13" s="18">
        <f>B11+B12</f>
        <v>51390608182.9991</v>
      </c>
    </row>
    <row r="14" spans="1:2" x14ac:dyDescent="0.25">
      <c r="A14" s="19" t="s">
        <v>73</v>
      </c>
      <c r="B14" s="24">
        <f>B13/Assumptions!B31</f>
        <v>27.437591128136198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10547585007.594753</v>
      </c>
    </row>
    <row r="18" spans="1:2" x14ac:dyDescent="0.25">
      <c r="A18" t="s">
        <v>68</v>
      </c>
      <c r="B18" s="18">
        <f>B17*Assumptions!B13</f>
        <v>188435044495.92426</v>
      </c>
    </row>
    <row r="19" spans="1:2" x14ac:dyDescent="0.25">
      <c r="A19" t="s">
        <v>69</v>
      </c>
      <c r="B19" s="18">
        <f>B18/(1+Assumptions!B26)^(10-0.5*Assumptions!B32)</f>
        <v>86155628083.05167</v>
      </c>
    </row>
    <row r="20" spans="1:2" x14ac:dyDescent="0.25">
      <c r="A20" t="s">
        <v>70</v>
      </c>
      <c r="B20" s="18">
        <f>Forecast!B17+B19</f>
        <v>115699820711.36928</v>
      </c>
    </row>
    <row r="21" spans="1:2" x14ac:dyDescent="0.25">
      <c r="A21" t="s">
        <v>71</v>
      </c>
      <c r="B21" s="18">
        <f>-Assumptions!B30</f>
        <v>-18677000000</v>
      </c>
    </row>
    <row r="22" spans="1:2" x14ac:dyDescent="0.25">
      <c r="A22" t="s">
        <v>72</v>
      </c>
      <c r="B22" s="18">
        <f>B20+B21</f>
        <v>97022820711.36928</v>
      </c>
    </row>
    <row r="23" spans="1:2" x14ac:dyDescent="0.25">
      <c r="A23" s="19" t="s">
        <v>73</v>
      </c>
      <c r="B23" s="25">
        <f>B22/Assumptions!B31</f>
        <v>51.80075852182022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51.62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27.437591128136198</v>
      </c>
    </row>
    <row r="29" spans="1:2" x14ac:dyDescent="0.25">
      <c r="A29" s="19" t="s">
        <v>81</v>
      </c>
      <c r="B29" s="11">
        <f>B28/B26-1</f>
        <v>-0.46846975730073226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0.065867</v>
      </c>
      <c r="B5" s="31">
        <v>41.224584664777666</v>
      </c>
      <c r="C5" s="31">
        <v>43.18951659250574</v>
      </c>
      <c r="D5" s="31">
        <v>45.707827101109935</v>
      </c>
      <c r="E5" s="31">
        <v>49.0109456023934</v>
      </c>
      <c r="F5" s="31">
        <v>53.48025415130762</v>
      </c>
    </row>
    <row r="6" spans="1:6" x14ac:dyDescent="0.25">
      <c r="A6" s="30">
        <v>0.075867</v>
      </c>
      <c r="B6" s="31">
        <v>32.60763734955847</v>
      </c>
      <c r="C6" s="31">
        <v>33.56829320212156</v>
      </c>
      <c r="D6" s="31">
        <v>34.77290688716575</v>
      </c>
      <c r="E6" s="31">
        <v>36.30126054625726</v>
      </c>
      <c r="F6" s="31">
        <v>38.27218109624118</v>
      </c>
    </row>
    <row r="7" spans="1:6" x14ac:dyDescent="0.25">
      <c r="A7" s="30">
        <v>0.085867</v>
      </c>
      <c r="B7" s="31">
        <v>26.43954645393439</v>
      </c>
      <c r="C7" s="31">
        <v>26.880560701883443</v>
      </c>
      <c r="D7" s="32">
        <v>27.43758951496092</v>
      </c>
      <c r="E7" s="31">
        <v>28.141782202722187</v>
      </c>
      <c r="F7" s="31">
        <v>29.036535429414293</v>
      </c>
    </row>
    <row r="8" spans="1:6" x14ac:dyDescent="0.25">
      <c r="A8" s="30">
        <v>0.095867</v>
      </c>
      <c r="B8" s="31">
        <v>21.81072641631384</v>
      </c>
      <c r="C8" s="31">
        <v>21.965555805433805</v>
      </c>
      <c r="D8" s="31">
        <v>22.177653155341503</v>
      </c>
      <c r="E8" s="31">
        <v>22.460060192725813</v>
      </c>
      <c r="F8" s="31">
        <v>22.830103963640425</v>
      </c>
    </row>
    <row r="9" spans="1:6" x14ac:dyDescent="0.25">
      <c r="A9" s="30">
        <v>0.105867</v>
      </c>
      <c r="B9" s="31">
        <v>18.212078763613587</v>
      </c>
      <c r="C9" s="31">
        <v>18.203299049452667</v>
      </c>
      <c r="D9" s="31">
        <v>18.222845129195623</v>
      </c>
      <c r="E9" s="31">
        <v>18.276317420791756</v>
      </c>
      <c r="F9" s="31">
        <v>18.37089688544722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14092000000</v>
      </c>
      <c r="C5" s="18">
        <v>14540000000</v>
      </c>
      <c r="D5" s="18">
        <v>14657000000</v>
      </c>
      <c r="E5" s="18">
        <v>14853000000</v>
      </c>
      <c r="F5" s="6" t="s">
        <v>91</v>
      </c>
    </row>
    <row r="6" spans="1:6" x14ac:dyDescent="0.25">
      <c r="A6" t="s">
        <v>51</v>
      </c>
      <c r="B6" s="18">
        <v>4718000000</v>
      </c>
      <c r="C6" s="18">
        <v>5403000000</v>
      </c>
      <c r="D6" s="18">
        <v>5528000000</v>
      </c>
      <c r="E6" s="18">
        <v>5795000000</v>
      </c>
      <c r="F6" s="6" t="s">
        <v>92</v>
      </c>
    </row>
    <row r="7" spans="1:6" x14ac:dyDescent="0.25">
      <c r="A7" t="s">
        <v>93</v>
      </c>
      <c r="B7" s="18">
        <v>1680000000</v>
      </c>
      <c r="C7" s="18">
        <v>1658000000</v>
      </c>
      <c r="D7" s="18">
        <v>1607000000</v>
      </c>
      <c r="E7" s="18">
        <v>1502000000</v>
      </c>
      <c r="F7" s="6" t="s">
        <v>94</v>
      </c>
    </row>
    <row r="8" spans="1:6" x14ac:dyDescent="0.25">
      <c r="A8" t="s">
        <v>95</v>
      </c>
      <c r="B8" s="18">
        <v>2902000000</v>
      </c>
      <c r="C8" s="18">
        <v>2529000000</v>
      </c>
      <c r="D8" s="18">
        <v>2257000000</v>
      </c>
      <c r="E8" s="18">
        <v>2113000000</v>
      </c>
      <c r="F8" s="6" t="s">
        <v>96</v>
      </c>
    </row>
    <row r="9" spans="1:6" x14ac:dyDescent="0.25">
      <c r="A9" t="s">
        <v>97</v>
      </c>
      <c r="B9" s="18">
        <v>244000000</v>
      </c>
      <c r="C9" s="18">
        <v>-74000000</v>
      </c>
      <c r="D9" s="18">
        <v>-154000000</v>
      </c>
      <c r="E9" s="18">
        <v>-64000000</v>
      </c>
      <c r="F9" s="6" t="s">
        <v>98</v>
      </c>
    </row>
    <row r="10" spans="1:6" x14ac:dyDescent="0.25">
      <c r="A10" t="s">
        <v>99</v>
      </c>
      <c r="B10" s="18">
        <v>19352000000</v>
      </c>
      <c r="C10" s="18">
        <v>18989000000</v>
      </c>
      <c r="D10" s="18">
        <v>19024000000</v>
      </c>
      <c r="E10" s="18">
        <v>18535000000</v>
      </c>
      <c r="F10" s="6" t="s">
        <v>100</v>
      </c>
    </row>
    <row r="11" spans="1:6" x14ac:dyDescent="0.25">
      <c r="A11" t="s">
        <v>101</v>
      </c>
      <c r="B11" s="18">
        <v>675000000</v>
      </c>
      <c r="C11" s="18">
        <v>1005000000</v>
      </c>
      <c r="D11" s="18">
        <v>1436000000</v>
      </c>
      <c r="E11" s="18">
        <v>2087000000</v>
      </c>
      <c r="F11" s="6" t="s">
        <v>102</v>
      </c>
    </row>
    <row r="12" spans="1:6" x14ac:dyDescent="0.25">
      <c r="A12" t="s">
        <v>34</v>
      </c>
      <c r="B12" s="34">
        <v>1873000000</v>
      </c>
      <c r="C12" s="34">
        <v>1943000000</v>
      </c>
      <c r="D12" s="34">
        <v>2013000000</v>
      </c>
      <c r="E12" s="34">
        <v>2141000000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