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<sst xmlns="http://schemas.openxmlformats.org/spreadsheetml/2006/main" count="112" uniqueCount="100">
  <si>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CSX Corporation (CSX)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</si>
  <si>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</si>
  <si>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</si>
  <si>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</si>
  <si>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</si>
  <si>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</si>
  <si>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</si>
  <si>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</si>
  <si>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</si>
  <si>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</si>
  <si>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</si>
  <si>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</si>
  <si>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</si>
  <si>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</si>
  <si>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</si>
  <si>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</si>
  <si>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</si>
  <si>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</si>
  <si>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</si>
  <si>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</si>
  <si>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</si>
  <si>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</si>
  <si>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</si>
  <si>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</si>
  <si>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</si>
  <si>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</si>
  <si>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</si>
  <si>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</si>
  <si>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</si>
  <si>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</si>
  <si>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</si>
  <si>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</si>
  <si>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</si>
  <si>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</si>
  <si>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</si>
  <si>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</si>
  <si>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</si>
  <si>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</si>
  <si>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</si>
  <si>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</si>
  <si>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</si>
  <si>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</si>
  <si>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</si>
  <si>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</si>
  <si>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</si>
  <si>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</si>
  <si>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</si>
  <si>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</si>
  <si>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</si>
  <si>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</si>
  <si>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</si>
  <si>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</si>
  <si>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</si>
  <si>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</si>
  <si>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</si>
  <si>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</si>
  <si>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</si>
  <si>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</si>
  <si>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</si>
  <si>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</si>
  <si>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</si>
  <si>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</si>
  <si>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</si>
  <si>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</si>
  <si>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</si>
  <si>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</si>
  <si>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</si>
  <si>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</si>
  <si>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</si>
  <si>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</si>
  <si>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</si>
  <si>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</si>
  <si>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</si>
  <si>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</si>
  <si>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</si>
  <si>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</si>
  <si>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</si>
  <si>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</si>
  <si>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</si>
  <si>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</si>
  <si>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</si>
  <si>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</si>
  <si>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</si>
  <si>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</si>
  <si>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</si>
  <si>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</si>
  <si>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</si>
  <si>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</si>
  <si>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</si>
  <si>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</si>
  <si>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</si>
  <si>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</si>
  <si>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</si>
  <si>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</si>
  <si>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</si>
  <si>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</si>
  <si>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</si>
  <si>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</si>
  <si>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16.9% of revenue against depreciation of 11.1%.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</si>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</sst>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-0.01737875164321634</v>
      </c>
    </row>
    <row r="7" spans="1:2" x14ac:dyDescent="0.25">
      <c r="A7" t="s">
        <v>5</v>
      </c>
      <c r="B7" s="6">
        <v>0.3684275068944275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0.1110029087376415</v>
      </c>
    </row>
    <row r="10" spans="1:2" x14ac:dyDescent="0.25">
      <c r="A10" t="s">
        <v>8</v>
      </c>
      <c r="B10" s="6">
        <v>0.16902877438551883</v>
      </c>
    </row>
    <row r="11" spans="1:2" x14ac:dyDescent="0.25">
      <c r="A11" t="s">
        <v>9</v>
      </c>
      <c r="B11" s="6">
        <v>0.6324786324786325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16.556512440137542</v>
      </c>
    </row>
    <row r="14" spans="1:3" x14ac:dyDescent="0.25">
      <c r="A14" t="s">
        <v>12</v>
      </c>
      <c r="B14" s="6">
        <v>0.14039520469920813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1.13869</v>
      </c>
      <c r="C19" s="8" t="s">
        <v>19</v>
      </c>
    </row>
    <row r="20" spans="1:2" x14ac:dyDescent="0.25">
      <c r="A20" t="s">
        <v>20</v>
      </c>
      <c r="B20" s="10">
        <f>B17+B19*B18</f>
        <v>0.11260795000000001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87251566592</v>
      </c>
    </row>
    <row r="23" spans="1:2" x14ac:dyDescent="0.25">
      <c r="A23" t="s">
        <v>24</v>
      </c>
      <c r="B23" s="11">
        <v>19352000000</v>
      </c>
    </row>
    <row r="24" spans="1:2" x14ac:dyDescent="0.25">
      <c r="A24" t="s">
        <v>25</v>
      </c>
      <c r="B24" s="10">
        <f>B22/(B22+B23)</f>
        <v>0.8184676121197219</v>
      </c>
    </row>
    <row r="25" spans="1:2" x14ac:dyDescent="0.25">
      <c r="A25" t="s">
        <v>26</v>
      </c>
      <c r="B25" s="10">
        <f>1-B24</f>
        <v>0.18153238788027815</v>
      </c>
    </row>
    <row r="26" spans="1:2" x14ac:dyDescent="0.25">
      <c r="A26" t="s">
        <v>27</v>
      </c>
      <c r="B26" s="12">
        <f>B24*B20+B25*B21*(1-B8)</f>
        <v>0.09933362105173953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14092000000</v>
      </c>
      <c r="C29" s="8" t="s">
        <v>30</v>
      </c>
    </row>
    <row r="30" spans="1:2" x14ac:dyDescent="0.25">
      <c r="A30" t="s">
        <v>31</v>
      </c>
      <c r="B30" s="11">
        <v>18677000000</v>
      </c>
    </row>
    <row r="31" spans="1:2" x14ac:dyDescent="0.25">
      <c r="A31" t="s">
        <v>32</v>
      </c>
      <c r="B31" s="13">
        <v>1873000000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-0.01737875164321634</v>
      </c>
      <c r="C5" s="10">
        <f>Assumptions!B6</f>
        <v>-0.01737875164321634</v>
      </c>
      <c r="D5" s="10">
        <f>Assumptions!B6</f>
        <v>-0.01737875164321634</v>
      </c>
      <c r="E5" s="10">
        <f>Assumptions!B6</f>
        <v>-0.01737875164321634</v>
      </c>
      <c r="F5" s="10">
        <f>Assumptions!B6</f>
        <v>-0.01737875164321634</v>
      </c>
    </row>
    <row r="6" spans="1:6" x14ac:dyDescent="0.25">
      <c r="A6" t="s">
        <v>43</v>
      </c>
      <c r="B6" s="18">
        <f>Assumptions!B29*(1+B5)</f>
        <v>13847098631.843796</v>
      </c>
      <c r="C6" s="18">
        <f>B6*(1+C5)</f>
        <v>13606453343.741861</v>
      </c>
      <c r="D6" s="18">
        <f>C6*(1+D5)</f>
        <v>13369990170.33596</v>
      </c>
      <c r="E6" s="18">
        <f>D6*(1+E5)</f>
        <v>13137636431.693447</v>
      </c>
      <c r="F6" s="18">
        <f>E6*(1+F5)</f>
        <v>12909320710.968176</v>
      </c>
    </row>
    <row r="7" spans="1:6" x14ac:dyDescent="0.25">
      <c r="A7" t="s">
        <v>5</v>
      </c>
      <c r="B7" s="10">
        <f>Assumptions!B7</f>
        <v>0.3684275068944275</v>
      </c>
      <c r="C7" s="10">
        <f>Assumptions!B7</f>
        <v>0.3684275068944275</v>
      </c>
      <c r="D7" s="10">
        <f>Assumptions!B7</f>
        <v>0.3684275068944275</v>
      </c>
      <c r="E7" s="10">
        <f>Assumptions!B7</f>
        <v>0.3684275068944275</v>
      </c>
      <c r="F7" s="10">
        <f>Assumptions!B7</f>
        <v>0.3684275068944275</v>
      </c>
    </row>
    <row r="8" spans="1:6" x14ac:dyDescent="0.25">
      <c r="A8" t="s">
        <v>44</v>
      </c>
      <c r="B8" s="18">
        <f>B6*B7</f>
        <v>5101652026.651447</v>
      </c>
      <c r="C8" s="18">
        <f>C6*C7</f>
        <v>5012991683.110161</v>
      </c>
      <c r="D8" s="18">
        <f>D6*D7</f>
        <v>4925872145.65988</v>
      </c>
      <c r="E8" s="18">
        <f>E6*E7</f>
        <v>4840266637.014219</v>
      </c>
      <c r="F8" s="18">
        <f>F6*F7</f>
        <v>4756148845.242603</v>
      </c>
    </row>
    <row r="9" spans="1:6" x14ac:dyDescent="0.25">
      <c r="A9" t="s">
        <v>45</v>
      </c>
      <c r="B9" s="18">
        <f>B8*(1-Assumptions!B8)</f>
        <v>4030305101.0546436</v>
      </c>
      <c r="C9" s="18">
        <f>C8*(1-Assumptions!B8)</f>
        <v>3960263429.6570272</v>
      </c>
      <c r="D9" s="18">
        <f>D8*(1-Assumptions!B8)</f>
        <v>3891438995.0713053</v>
      </c>
      <c r="E9" s="18">
        <f>E8*(1-Assumptions!B8)</f>
        <v>3823810643.2412333</v>
      </c>
      <c r="F9" s="18">
        <f>F8*(1-Assumptions!B8)</f>
        <v>3757357587.741657</v>
      </c>
    </row>
    <row r="10" spans="1:6" x14ac:dyDescent="0.25">
      <c r="A10" t="s">
        <v>46</v>
      </c>
      <c r="B10" s="18">
        <f>B6*Assumptions!B9</f>
        <v>1537068225.7116773</v>
      </c>
      <c r="C10" s="18">
        <f>C6*Assumptions!B9</f>
        <v>1510355898.758355</v>
      </c>
      <c r="D10" s="18">
        <f>D6*Assumptions!B9</f>
        <v>1484107798.7009666</v>
      </c>
      <c r="E10" s="18">
        <f>E6*Assumptions!B9</f>
        <v>1458315857.8555818</v>
      </c>
      <c r="F10" s="18">
        <f>F6*Assumptions!B9</f>
        <v>1432972148.7445457</v>
      </c>
    </row>
    <row r="11" spans="1:6" x14ac:dyDescent="0.25">
      <c r="A11" t="s">
        <v>47</v>
      </c>
      <c r="B11" s="18">
        <f>-B6*Assumptions!B10</f>
        <v>-2340558110.5359516</v>
      </c>
      <c r="C11" s="18">
        <f>-C6*Assumptions!B10</f>
        <v>-2299882132.426431</v>
      </c>
      <c r="D11" s="18">
        <f>-D6*Assumptions!B10</f>
        <v>-2259913052.0383215</v>
      </c>
      <c r="E11" s="18">
        <f>-E6*Assumptions!B10</f>
        <v>-2220638584.3716846</v>
      </c>
      <c r="F11" s="18">
        <f>-F6*Assumptions!B10</f>
        <v>-2182046657.9245453</v>
      </c>
    </row>
    <row r="12" spans="1:6" x14ac:dyDescent="0.25">
      <c r="A12" t="s">
        <v>48</v>
      </c>
      <c r="B12" s="18">
        <f>-(B6-Assumptions!B29)*Assumptions!B11</f>
        <v>154894882.42358217</v>
      </c>
      <c r="C12" s="18">
        <f>-(C6-B6)*Assumptions!B11</f>
        <v>152203002.73113802</v>
      </c>
      <c r="D12" s="18">
        <f>-(D6-C6)*Assumptions!B11</f>
        <v>149557904.54732198</v>
      </c>
      <c r="E12" s="18">
        <f>-(E6-D6)*Assumptions!B11</f>
        <v>146958774.86791438</v>
      </c>
      <c r="F12" s="18">
        <f>-(F6-E6)*Assumptions!B11</f>
        <v>144404814.8176929</v>
      </c>
    </row>
    <row r="13" spans="1:6" x14ac:dyDescent="0.25">
      <c r="A13" s="19" t="s">
        <v>49</v>
      </c>
      <c r="B13" s="20">
        <f>B9+B10+B11+B12</f>
        <v>3381710098.6539516</v>
      </c>
      <c r="C13" s="20">
        <f>C9+C10+C11+C12</f>
        <v>3322940198.7200894</v>
      </c>
      <c r="D13" s="20">
        <f>D9+D10+D11+D12</f>
        <v>3265191646.2812724</v>
      </c>
      <c r="E13" s="20">
        <f>E9+E10+E11+E12</f>
        <v>3208446691.5930448</v>
      </c>
      <c r="F13" s="20">
        <f>F9+F10+F11+F12</f>
        <v>3152687893.3793497</v>
      </c>
    </row>
    <row r="14" spans="1:6" x14ac:dyDescent="0.25">
      <c r="A14" t="s">
        <v>50</v>
      </c>
      <c r="B14" s="21">
        <f>1/(1+Assumptions!$B$26)^(1-0.5*Assumptions!$B$32)</f>
        <v>0.953751523891938</v>
      </c>
      <c r="C14" s="21">
        <f>1/(1+Assumptions!$B$26)^(2-0.5*Assumptions!$B$32)</f>
        <v>0.8675724144409209</v>
      </c>
      <c r="D14" s="21">
        <f>1/(1+Assumptions!$B$26)^(3-0.5*Assumptions!$B$32)</f>
        <v>0.78918027960512</v>
      </c>
      <c r="E14" s="21">
        <f>1/(1+Assumptions!$B$26)^(4-0.5*Assumptions!$B$32)</f>
        <v>0.7178715036933977</v>
      </c>
      <c r="F14" s="21">
        <f>1/(1+Assumptions!$B$26)^(5-0.5*Assumptions!$B$32)</f>
        <v>0.6530060483428183</v>
      </c>
    </row>
    <row r="15" spans="1:6" x14ac:dyDescent="0.25">
      <c r="A15" s="19" t="s">
        <v>51</v>
      </c>
      <c r="B15" s="20">
        <f>B13*B14</f>
        <v>3225311159.951962</v>
      </c>
      <c r="C15" s="20">
        <f>C13*C14</f>
        <v>2882891251.2463818</v>
      </c>
      <c r="D15" s="20">
        <f>D13*D14</f>
        <v>2576824856.376557</v>
      </c>
      <c r="E15" s="20">
        <f>E13*E14</f>
        <v>2303252451.014006</v>
      </c>
      <c r="F15" s="20">
        <f>F13*F14</f>
        <v>2058724262.9138935</v>
      </c>
    </row>
    <row r="17" spans="1:2" x14ac:dyDescent="0.25">
      <c r="A17" s="22" t="s">
        <v>52</v>
      </c>
      <c r="B17" s="23">
        <f>SUM(B15:F15)</f>
        <v>13047003981.502798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3152687893.3793497</v>
      </c>
    </row>
    <row r="5" spans="1:2" x14ac:dyDescent="0.25">
      <c r="A5" t="s">
        <v>56</v>
      </c>
      <c r="B5" s="18">
        <f>IF(Assumptions!$B$33=0,B4,B4-Forecast!F11-Forecast!F10-Forecast!F12)</f>
        <v>3757357587.741657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0.17806875992354324</v>
      </c>
    </row>
    <row r="7" spans="1:2" x14ac:dyDescent="0.25">
      <c r="A7" t="s">
        <v>58</v>
      </c>
      <c r="B7" s="18">
        <f>-MAX(Forecast!F9,0)*B6</f>
        <v>-669068006.2384726</v>
      </c>
    </row>
    <row r="8" spans="1:2" x14ac:dyDescent="0.25">
      <c r="A8" t="s">
        <v>59</v>
      </c>
      <c r="B8" s="18">
        <f>IF(OR(Assumptions!$B$33=0,Assumptions!B12&lt;=0),B5,MAX(B5+B7,0))</f>
        <v>3088289581.5031843</v>
      </c>
    </row>
    <row r="9" spans="1:2" x14ac:dyDescent="0.25">
      <c r="A9" t="s">
        <v>60</v>
      </c>
      <c r="B9" s="18">
        <f>B8*(1+Assumptions!B12)/(Assumptions!B26-Assumptions!B12)</f>
        <v>42584994195.79515</v>
      </c>
    </row>
    <row r="10" spans="1:2" x14ac:dyDescent="0.25">
      <c r="A10" t="s">
        <v>61</v>
      </c>
      <c r="B10" s="18">
        <f>B9/(1+Assumptions!B26)^(5-0.5*Assumptions!B32)</f>
        <v>27808258778.498043</v>
      </c>
    </row>
    <row r="11" spans="1:2" x14ac:dyDescent="0.25">
      <c r="A11" t="s">
        <v>62</v>
      </c>
      <c r="B11" s="18">
        <f>Forecast!B17+B10</f>
        <v>40855262760.00084</v>
      </c>
    </row>
    <row r="12" spans="1:2" x14ac:dyDescent="0.25">
      <c r="A12" t="s">
        <v>63</v>
      </c>
      <c r="B12" s="18">
        <f>-Assumptions!B30</f>
        <v>-18677000000</v>
      </c>
    </row>
    <row r="13" spans="1:2" x14ac:dyDescent="0.25">
      <c r="A13" t="s">
        <v>64</v>
      </c>
      <c r="B13" s="18">
        <f>B11+B12</f>
        <v>22178262760.00084</v>
      </c>
    </row>
    <row r="14" spans="1:2" x14ac:dyDescent="0.25">
      <c r="A14" s="19" t="s">
        <v>65</v>
      </c>
      <c r="B14" s="24">
        <f>B13/Assumptions!B31</f>
        <v>11.841037245061846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6189120993.987149</v>
      </c>
    </row>
    <row r="18" spans="1:2" x14ac:dyDescent="0.25">
      <c r="A18" t="s">
        <v>60</v>
      </c>
      <c r="B18" s="18">
        <f>B17*Assumptions!B13</f>
        <v>102470258730.46466</v>
      </c>
    </row>
    <row r="19" spans="1:2" x14ac:dyDescent="0.25">
      <c r="A19" t="s">
        <v>61</v>
      </c>
      <c r="B19" s="18">
        <f>B18/(1+Assumptions!B26)^(5-0.5*Assumptions!B32)</f>
        <v>66913698726.2469</v>
      </c>
    </row>
    <row r="20" spans="1:2" x14ac:dyDescent="0.25">
      <c r="A20" t="s">
        <v>62</v>
      </c>
      <c r="B20" s="18">
        <f>Forecast!B17+B19</f>
        <v>79960702707.7497</v>
      </c>
    </row>
    <row r="21" spans="1:2" x14ac:dyDescent="0.25">
      <c r="A21" t="s">
        <v>63</v>
      </c>
      <c r="B21" s="18">
        <f>-Assumptions!B30</f>
        <v>-18677000000</v>
      </c>
    </row>
    <row r="22" spans="1:2" x14ac:dyDescent="0.25">
      <c r="A22" t="s">
        <v>64</v>
      </c>
      <c r="B22" s="18">
        <f>B20+B21</f>
        <v>61283702707.749695</v>
      </c>
    </row>
    <row r="23" spans="1:2" x14ac:dyDescent="0.25">
      <c r="A23" s="19" t="s">
        <v>65</v>
      </c>
      <c r="B23" s="25">
        <f>B22/Assumptions!B31</f>
        <v>32.719542289241694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47.1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11.841037245061846</v>
      </c>
    </row>
    <row r="29" spans="1:2" x14ac:dyDescent="0.25">
      <c r="A29" s="19" t="s">
        <v>73</v>
      </c>
      <c r="B29" s="12">
        <f>B28/B26-1</f>
        <v>-0.7485979353490053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0.079334</v>
      </c>
      <c r="B5" s="31">
        <v>17.343115489713263</v>
      </c>
      <c r="C5" s="31">
        <v>18.268645885267954</v>
      </c>
      <c r="D5" s="31">
        <v>19.35519133651134</v>
      </c>
      <c r="E5" s="31">
        <v>20.65170846231337</v>
      </c>
      <c r="F5" s="31">
        <v>22.229239242156613</v>
      </c>
    </row>
    <row r="6" spans="1:6" x14ac:dyDescent="0.25">
      <c r="A6" s="30">
        <v>0.089334</v>
      </c>
      <c r="B6" s="31">
        <v>13.787813222531133</v>
      </c>
      <c r="C6" s="31">
        <v>14.361058141665326</v>
      </c>
      <c r="D6" s="31">
        <v>15.01585147459643</v>
      </c>
      <c r="E6" s="31">
        <v>15.772809161711987</v>
      </c>
      <c r="F6" s="31">
        <v>16.660135740001117</v>
      </c>
    </row>
    <row r="7" spans="1:6" x14ac:dyDescent="0.25">
      <c r="A7" s="30">
        <v>0.099334</v>
      </c>
      <c r="B7" s="31">
        <v>11.075765068345774</v>
      </c>
      <c r="C7" s="31">
        <v>11.437177116604673</v>
      </c>
      <c r="D7" s="32">
        <v>11.840933059837443</v>
      </c>
      <c r="E7" s="31">
        <v>12.29619374877546</v>
      </c>
      <c r="F7" s="31">
        <v>12.814967937507976</v>
      </c>
    </row>
    <row r="8" spans="1:6" x14ac:dyDescent="0.25">
      <c r="A8" s="30">
        <v>0.109334</v>
      </c>
      <c r="B8" s="31">
        <v>8.938759272889193</v>
      </c>
      <c r="C8" s="31">
        <v>9.166687011958336</v>
      </c>
      <c r="D8" s="31">
        <v>9.416330505042911</v>
      </c>
      <c r="E8" s="31">
        <v>9.691795637516549</v>
      </c>
      <c r="F8" s="31">
        <v>9.998293007367188</v>
      </c>
    </row>
    <row r="9" spans="1:6" x14ac:dyDescent="0.25">
      <c r="A9" s="30">
        <v>0.119334</v>
      </c>
      <c r="B9" s="31">
        <v>7.211415473248876</v>
      </c>
      <c r="C9" s="31">
        <v>7.352283325770095</v>
      </c>
      <c r="D9" s="31">
        <v>7.503523947701611</v>
      </c>
      <c r="E9" s="31">
        <v>7.666879022402002</v>
      </c>
      <c r="F9" s="31">
        <v>7.844503277401477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14092000000</v>
      </c>
      <c r="C5" s="18">
        <v>14540000000</v>
      </c>
      <c r="D5" s="18">
        <v>14657000000</v>
      </c>
      <c r="E5" s="18">
        <v>14853000000</v>
      </c>
      <c r="F5" s="8" t="s">
        <v>84</v>
      </c>
    </row>
    <row r="6" spans="1:6" x14ac:dyDescent="0.25">
      <c r="A6" t="s">
        <v>44</v>
      </c>
      <c r="B6" s="18">
        <v>4718000000</v>
      </c>
      <c r="C6" s="18">
        <v>5403000000</v>
      </c>
      <c r="D6" s="18">
        <v>5528000000</v>
      </c>
      <c r="E6" s="18">
        <v>5795000000</v>
      </c>
      <c r="F6" s="8" t="s">
        <v>85</v>
      </c>
    </row>
    <row r="7" spans="1:6" x14ac:dyDescent="0.25">
      <c r="A7" t="s">
        <v>86</v>
      </c>
      <c r="B7" s="18">
        <v>1680000000</v>
      </c>
      <c r="C7" s="18">
        <v>1658000000</v>
      </c>
      <c r="D7" s="18">
        <v>1607000000</v>
      </c>
      <c r="E7" s="18">
        <v>1502000000</v>
      </c>
      <c r="F7" s="8" t="s">
        <v>87</v>
      </c>
    </row>
    <row r="8" spans="1:6" x14ac:dyDescent="0.25">
      <c r="A8" t="s">
        <v>88</v>
      </c>
      <c r="B8" s="18">
        <v>2902000000</v>
      </c>
      <c r="C8" s="18">
        <v>2529000000</v>
      </c>
      <c r="D8" s="18">
        <v>2257000000</v>
      </c>
      <c r="E8" s="18">
        <v>2113000000</v>
      </c>
      <c r="F8" s="8" t="s">
        <v>89</v>
      </c>
    </row>
    <row r="9" spans="1:6" x14ac:dyDescent="0.25">
      <c r="A9" t="s">
        <v>90</v>
      </c>
      <c r="B9" s="18">
        <v>244000000</v>
      </c>
      <c r="C9" s="18">
        <v>-74000000</v>
      </c>
      <c r="D9" s="18">
        <v>-154000000</v>
      </c>
      <c r="E9" s="18">
        <v>-64000000</v>
      </c>
      <c r="F9" s="8" t="s">
        <v>91</v>
      </c>
    </row>
    <row r="10" spans="1:6" x14ac:dyDescent="0.25">
      <c r="A10" t="s">
        <v>92</v>
      </c>
      <c r="B10" s="18">
        <v>19352000000</v>
      </c>
      <c r="C10" s="18">
        <v>18989000000</v>
      </c>
      <c r="D10" s="18">
        <v>19024000000</v>
      </c>
      <c r="E10" s="18">
        <v>18535000000</v>
      </c>
      <c r="F10" s="8" t="s">
        <v>93</v>
      </c>
    </row>
    <row r="11" spans="1:6" x14ac:dyDescent="0.25">
      <c r="A11" t="s">
        <v>94</v>
      </c>
      <c r="B11" s="18">
        <v>675000000</v>
      </c>
      <c r="C11" s="18">
        <v>1005000000</v>
      </c>
      <c r="D11" s="18">
        <v>1436000000</v>
      </c>
      <c r="E11" s="18">
        <v>2087000000</v>
      </c>
      <c r="F11" s="8" t="s">
        <v>95</v>
      </c>
    </row>
    <row r="12" spans="1:6" x14ac:dyDescent="0.25">
      <c r="A12" t="s">
        <v>32</v>
      </c>
      <c r="B12" s="34">
        <v>1873000000</v>
      </c>
      <c r="C12" s="34">
        <v>1943000000</v>
      </c>
      <c r="D12" s="34">
        <v>2013000000</v>
      </c>
      <c r="E12" s="34">
        <v>2141000000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2026-09-19T00:06:16Z</dcterms:modified>
</cp:coreProperties>
</file>