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<sst xmlns="http://schemas.openxmlformats.org/spreadsheetml/2006/main" count="120" uniqueCount="107">
  <si>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Cintas Corporation (CTAS)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</si>
  <si>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</si>
  <si>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</si>
  <si>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</si>
  <si>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</si>
  <si>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</si>
  <si>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</si>
  <si>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</si>
  <si>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</si>
  <si>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</si>
  <si>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</si>
  <si>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</si>
  <si>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</si>
  <si>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</si>
  <si>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</si>
  <si>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</si>
  <si>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</si>
  <si>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</si>
  <si>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</si>
  <si>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</si>
  <si>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</si>
  <si>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</si>
  <si>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</si>
  <si>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</si>
  <si>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24.7x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</si>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</sst>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0.08706350272322694</v>
      </c>
    </row>
    <row r="7" spans="1:2" x14ac:dyDescent="0.25">
      <c r="A7" t="s">
        <v>4</v>
      </c>
      <c r="B7" s="5">
        <v>0.22024493556024108</v>
      </c>
    </row>
    <row r="8" spans="1:2" x14ac:dyDescent="0.25">
      <c r="A8" t="s">
        <v>5</v>
      </c>
      <c r="B8" s="5">
        <v>0.20271144223017462</v>
      </c>
    </row>
    <row r="9" spans="1:2" x14ac:dyDescent="0.25">
      <c r="A9" t="s">
        <v>6</v>
      </c>
      <c r="B9" s="5">
        <v>0.04712349190721544</v>
      </c>
    </row>
    <row r="10" spans="1:3" x14ac:dyDescent="0.25">
      <c r="A10" t="s">
        <v>7</v>
      </c>
      <c r="B10" s="5">
        <v>0.038711106118723575</v>
      </c>
      <c r="C10" s="6" t="s">
        <v>8</v>
      </c>
    </row>
    <row r="11" spans="1:2" x14ac:dyDescent="0.25">
      <c r="A11" t="s">
        <v>9</v>
      </c>
      <c r="B11" s="5">
        <v>0.24773837454384484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0.25373153935823206</v>
      </c>
      <c r="C14" s="6" t="s">
        <v>13</v>
      </c>
    </row>
    <row r="15" spans="1:3" x14ac:dyDescent="0.25">
      <c r="A15" t="s">
        <v>14</v>
      </c>
      <c r="B15" s="5">
        <v>0.02930123113544683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0.9443900000000001</v>
      </c>
      <c r="C19" s="6" t="s">
        <v>21</v>
      </c>
    </row>
    <row r="20" spans="1:2" x14ac:dyDescent="0.25">
      <c r="A20" t="s">
        <v>22</v>
      </c>
      <c r="B20" s="9">
        <f>B17+B19*B18</f>
        <v>0.088887697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87285055488</v>
      </c>
    </row>
    <row r="23" spans="1:2" x14ac:dyDescent="0.25">
      <c r="A23" t="s">
        <v>26</v>
      </c>
      <c r="B23" s="10">
        <v>2705957000</v>
      </c>
    </row>
    <row r="24" spans="1:2" x14ac:dyDescent="0.25">
      <c r="A24" t="s">
        <v>27</v>
      </c>
      <c r="B24" s="9">
        <f>B22/(B22+B23)</f>
        <v>0.969930808364215</v>
      </c>
    </row>
    <row r="25" spans="1:2" x14ac:dyDescent="0.25">
      <c r="A25" t="s">
        <v>28</v>
      </c>
      <c r="B25" s="9">
        <f>1-B24</f>
        <v>0.03006919163578503</v>
      </c>
    </row>
    <row r="26" spans="1:2" x14ac:dyDescent="0.25">
      <c r="A26" t="s">
        <v>29</v>
      </c>
      <c r="B26" s="11">
        <f>B24*B20+B25*B21*(1-B8)</f>
        <v>0.08748408996442522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11264761000</v>
      </c>
      <c r="C29" s="6" t="s">
        <v>32</v>
      </c>
    </row>
    <row r="30" spans="1:2" x14ac:dyDescent="0.25">
      <c r="A30" t="s">
        <v>33</v>
      </c>
      <c r="B30" s="10">
        <v>2416939000</v>
      </c>
    </row>
    <row r="31" spans="1:2" x14ac:dyDescent="0.25">
      <c r="A31" t="s">
        <v>34</v>
      </c>
      <c r="B31" s="12">
        <v>406197000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0.08706350272322694</v>
      </c>
      <c r="C5" s="5">
        <v>0.07527531712428281</v>
      </c>
      <c r="D5" s="5">
        <v>0.06899090248374747</v>
      </c>
      <c r="E5" s="5">
        <v>0.06270648784321212</v>
      </c>
      <c r="F5" s="5">
        <v>0.05642207320267676</v>
      </c>
      <c r="G5" s="5">
        <v>0.050137658562141404</v>
      </c>
      <c r="H5" s="5">
        <v>0.043853243921606055</v>
      </c>
      <c r="I5" s="5">
        <v>0.037568829281070706</v>
      </c>
      <c r="J5" s="5">
        <v>0.03128441464053535</v>
      </c>
      <c r="K5" s="5">
        <v>0.025</v>
      </c>
    </row>
    <row r="6" spans="1:11" x14ac:dyDescent="0.25">
      <c r="A6" t="s">
        <v>50</v>
      </c>
      <c r="B6" s="18">
        <f>Assumptions!B29*(1+B5)</f>
        <v>12245510550</v>
      </c>
      <c r="C6" s="18">
        <f>B6*(1+C5)</f>
        <v>13167295240</v>
      </c>
      <c r="D6" s="18">
        <f>C6*(1+D5)</f>
        <v>14075718821.877552</v>
      </c>
      <c r="E6" s="18">
        <f>D6*(1+E5)</f>
        <v>14958357713.06609</v>
      </c>
      <c r="F6" s="18">
        <f>E6*(1+F5)</f>
        <v>15802339266.944529</v>
      </c>
      <c r="G6" s="18">
        <f>F6*(1+G5)</f>
        <v>16594631557.593712</v>
      </c>
      <c r="H6" s="18">
        <f>G6*(1+H5)</f>
        <v>17322359983.07805</v>
      </c>
      <c r="I6" s="18">
        <f>H6*(1+I5)</f>
        <v>17973140768.02756</v>
      </c>
      <c r="J6" s="18">
        <f>I6*(1+J5)</f>
        <v>18535419956.207245</v>
      </c>
      <c r="K6" s="18">
        <f>J6*(1+K5)</f>
        <v>18998805455.112423</v>
      </c>
    </row>
    <row r="7" spans="1:11" x14ac:dyDescent="0.25">
      <c r="A7" t="s">
        <v>4</v>
      </c>
      <c r="B7" s="9">
        <f>Assumptions!B7</f>
        <v>0.22024493556024108</v>
      </c>
      <c r="C7" s="9">
        <f>Assumptions!B7</f>
        <v>0.22024493556024108</v>
      </c>
      <c r="D7" s="9">
        <f>Assumptions!B7</f>
        <v>0.22024493556024108</v>
      </c>
      <c r="E7" s="9">
        <f>Assumptions!B7</f>
        <v>0.22024493556024108</v>
      </c>
      <c r="F7" s="9">
        <f>Assumptions!B7</f>
        <v>0.22024493556024108</v>
      </c>
      <c r="G7" s="9">
        <f>Assumptions!B7</f>
        <v>0.22024493556024108</v>
      </c>
      <c r="H7" s="9">
        <f>Assumptions!B7</f>
        <v>0.22024493556024108</v>
      </c>
      <c r="I7" s="9">
        <f>Assumptions!B7</f>
        <v>0.22024493556024108</v>
      </c>
      <c r="J7" s="9">
        <f>Assumptions!B7</f>
        <v>0.22024493556024108</v>
      </c>
      <c r="K7" s="9">
        <f>Assumptions!B7</f>
        <v>0.22024493556024108</v>
      </c>
    </row>
    <row r="8" spans="1:11" x14ac:dyDescent="0.25">
      <c r="A8" t="s">
        <v>51</v>
      </c>
      <c r="B8" s="18">
        <f>B6*B7</f>
        <v>2697011681.9870024</v>
      </c>
      <c r="C8" s="18">
        <f>C6*C7</f>
        <v>2900030091.636469</v>
      </c>
      <c r="D8" s="18">
        <f>D6*D7</f>
        <v>3100105784.888494</v>
      </c>
      <c r="E8" s="18">
        <f>E6*E7</f>
        <v>3294502530.601276</v>
      </c>
      <c r="F8" s="18">
        <f>F6*F7</f>
        <v>3480385193.549265</v>
      </c>
      <c r="G8" s="18">
        <f>G6*G7</f>
        <v>3654883558.04817</v>
      </c>
      <c r="H8" s="18">
        <f>H6*H7</f>
        <v>3815162058.2243237</v>
      </c>
      <c r="I8" s="18">
        <f>I6*I7</f>
        <v>3958493230.269372</v>
      </c>
      <c r="J8" s="18">
        <f>J6*J7</f>
        <v>4082332373.836871</v>
      </c>
      <c r="K8" s="18">
        <f>K6*K7</f>
        <v>4184390683.182792</v>
      </c>
    </row>
    <row r="9" spans="1:11" x14ac:dyDescent="0.25">
      <c r="A9" t="s">
        <v>52</v>
      </c>
      <c r="B9" s="18">
        <f>B8*(1-Assumptions!B8)</f>
        <v>2150296554.219788</v>
      </c>
      <c r="C9" s="18">
        <f>C8*(1-Assumptions!B8)</f>
        <v>2312160809.249935</v>
      </c>
      <c r="D9" s="18">
        <f>D8*(1-Assumptions!B8)</f>
        <v>2471678870.16764</v>
      </c>
      <c r="E9" s="18">
        <f>E8*(1-Assumptions!B8)</f>
        <v>2626669171.1921315</v>
      </c>
      <c r="F9" s="18">
        <f>F8*(1-Assumptions!B8)</f>
        <v>2774871291.448348</v>
      </c>
      <c r="G9" s="18">
        <f>G8*(1-Assumptions!B8)</f>
        <v>2913996840.8128734</v>
      </c>
      <c r="H9" s="18">
        <f>H8*(1-Assumptions!B8)</f>
        <v>3041785055.0598297</v>
      </c>
      <c r="I9" s="18">
        <f>I8*(1-Assumptions!B8)</f>
        <v>3156061358.503085</v>
      </c>
      <c r="J9" s="18">
        <f>J8*(1-Assumptions!B8)</f>
        <v>3254796890.6734667</v>
      </c>
      <c r="K9" s="18">
        <f>K8*(1-Assumptions!B8)</f>
        <v>3336166812.940303</v>
      </c>
    </row>
    <row r="10" spans="1:11" x14ac:dyDescent="0.25">
      <c r="A10" t="s">
        <v>53</v>
      </c>
      <c r="B10" s="18">
        <f>B6*Assumptions!B9</f>
        <v>577051217.3026463</v>
      </c>
      <c r="C10" s="18">
        <f>C6*Assumptions!B9</f>
        <v>620488930.6820563</v>
      </c>
      <c r="D10" s="18">
        <f>D6*Assumptions!B9</f>
        <v>663297021.9909868</v>
      </c>
      <c r="E10" s="18">
        <f>E6*Assumptions!B9</f>
        <v>704890048.6369035</v>
      </c>
      <c r="F10" s="18">
        <f>F6*Assumptions!B9</f>
        <v>744661406.5609332</v>
      </c>
      <c r="G10" s="18">
        <f>G6*Assumptions!B9</f>
        <v>781996985.9074892</v>
      </c>
      <c r="H10" s="18">
        <f>H6*Assumptions!B9</f>
        <v>816290090.476451</v>
      </c>
      <c r="I10" s="18">
        <f>I6*Assumptions!B9</f>
        <v>846957153.5293907</v>
      </c>
      <c r="J10" s="18">
        <f>J6*Assumptions!B9</f>
        <v>873453712.3031716</v>
      </c>
      <c r="K10" s="18">
        <f>K6*Assumptions!B9</f>
        <v>895290055.1107508</v>
      </c>
    </row>
    <row r="11" spans="1:11" x14ac:dyDescent="0.25">
      <c r="A11" t="s">
        <v>54</v>
      </c>
      <c r="B11" s="18">
        <f>-B6*B19</f>
        <v>-474037258.3789991</v>
      </c>
      <c r="C11" s="18">
        <f>-C6*C19</f>
        <v>-523314780.2415684</v>
      </c>
      <c r="D11" s="18">
        <f>-D6*D19</f>
        <v>-573950833.4160197</v>
      </c>
      <c r="E11" s="18">
        <f>-E6*E19</f>
        <v>-625384625.1651698</v>
      </c>
      <c r="F11" s="18">
        <f>-F6*F19</f>
        <v>-676984818.9258361</v>
      </c>
      <c r="G11" s="18">
        <f>-G6*G19</f>
        <v>-728059929.9793336</v>
      </c>
      <c r="H11" s="18">
        <f>-H6*H19</f>
        <v>-777871720.5075846</v>
      </c>
      <c r="I11" s="18">
        <f>-I6*I19</f>
        <v>-825651332.181246</v>
      </c>
      <c r="J11" s="18">
        <f>-J6*J19</f>
        <v>-870617742.5094101</v>
      </c>
      <c r="K11" s="18">
        <f>-K6*K19</f>
        <v>-911997987.5684333</v>
      </c>
    </row>
    <row r="12" spans="1:11" x14ac:dyDescent="0.25">
      <c r="A12" t="s">
        <v>55</v>
      </c>
      <c r="B12" s="18">
        <f>-(B6-Assumptions!B29)*Assumptions!B11</f>
        <v>-242969299.3516073</v>
      </c>
      <c r="C12" s="18">
        <f>-(C6-B6)*Assumptions!B11</f>
        <v>-228361440.7800019</v>
      </c>
      <c r="D12" s="18">
        <f>-(D6-C6)*Assumptions!B11</f>
        <v>-225051381.5716421</v>
      </c>
      <c r="E12" s="18">
        <f>-(E6-D6)*Assumptions!B11</f>
        <v>-218663524.21222985</v>
      </c>
      <c r="F12" s="18">
        <f>-(F6-E6)*Assumptions!B11</f>
        <v>-209086618.30283287</v>
      </c>
      <c r="G12" s="18">
        <f>-(G6-F6)*Assumptions!B11</f>
        <v>-196281204.24904814</v>
      </c>
      <c r="H12" s="18">
        <f>-(H6-G6)*Assumptions!B11</f>
        <v>-180286257.23884112</v>
      </c>
      <c r="I12" s="18">
        <f>-(I6-H6)*Assumptions!B11</f>
        <v>-161223373.84775966</v>
      </c>
      <c r="J12" s="18">
        <f>-(J6-I6)*Assumptions!B11</f>
        <v>-139298132.1194675</v>
      </c>
      <c r="K12" s="18">
        <f>-(K6-J6)*Assumptions!B11</f>
        <v>-114798370.28595741</v>
      </c>
    </row>
    <row r="13" spans="1:11" x14ac:dyDescent="0.25">
      <c r="A13" s="19" t="s">
        <v>56</v>
      </c>
      <c r="B13" s="20">
        <f>B9+B10+B11+B12</f>
        <v>2010341213.7918277</v>
      </c>
      <c r="C13" s="20">
        <f>C9+C10+C11+C12</f>
        <v>2180973518.910421</v>
      </c>
      <c r="D13" s="20">
        <f>D9+D10+D11+D12</f>
        <v>2335973677.170965</v>
      </c>
      <c r="E13" s="20">
        <f>E9+E10+E11+E12</f>
        <v>2487511070.4516354</v>
      </c>
      <c r="F13" s="20">
        <f>F9+F10+F11+F12</f>
        <v>2633461260.780612</v>
      </c>
      <c r="G13" s="20">
        <f>G9+G10+G11+G12</f>
        <v>2771652692.4919806</v>
      </c>
      <c r="H13" s="20">
        <f>H9+H10+H11+H12</f>
        <v>2899917167.789855</v>
      </c>
      <c r="I13" s="20">
        <f>I9+I10+I11+I12</f>
        <v>3016143806.00347</v>
      </c>
      <c r="J13" s="20">
        <f>J9+J10+J11+J12</f>
        <v>3118334728.34776</v>
      </c>
      <c r="K13" s="20">
        <f>K9+K10+K11+K12</f>
        <v>3204660510.196663</v>
      </c>
    </row>
    <row r="14" spans="1:11" x14ac:dyDescent="0.25">
      <c r="A14" t="s">
        <v>57</v>
      </c>
      <c r="B14" s="21">
        <f>1/(1+Assumptions!$B$26)^(1-0.5*Assumptions!$B$32)</f>
        <v>0.9589336175564099</v>
      </c>
      <c r="C14" s="21">
        <f>1/(1+Assumptions!$B$26)^(2-0.5*Assumptions!$B$32)</f>
        <v>0.8817909396612685</v>
      </c>
      <c r="D14" s="21">
        <f>1/(1+Assumptions!$B$26)^(3-0.5*Assumptions!$B$32)</f>
        <v>0.8108541060955794</v>
      </c>
      <c r="E14" s="21">
        <f>1/(1+Assumptions!$B$26)^(4-0.5*Assumptions!$B$32)</f>
        <v>0.7456238795384168</v>
      </c>
      <c r="F14" s="21">
        <f>1/(1+Assumptions!$B$26)^(5-0.5*Assumptions!$B$32)</f>
        <v>0.6856411844726927</v>
      </c>
      <c r="G14" s="21">
        <f>1/(1+Assumptions!$B$26)^(6-0.5*Assumptions!$B$32)</f>
        <v>0.6304838763159488</v>
      </c>
      <c r="H14" s="21">
        <f>1/(1+Assumptions!$B$26)^(7-0.5*Assumptions!$B$32)</f>
        <v>0.5797637704626776</v>
      </c>
      <c r="I14" s="21">
        <f>1/(1+Assumptions!$B$26)^(8-0.5*Assumptions!$B$32)</f>
        <v>0.5331239103292476</v>
      </c>
      <c r="J14" s="21">
        <f>1/(1+Assumptions!$B$26)^(9-0.5*Assumptions!$B$32)</f>
        <v>0.49023605517455215</v>
      </c>
      <c r="K14" s="21">
        <f>1/(1+Assumptions!$B$26)^(10-0.5*Assumptions!$B$32)</f>
        <v>0.45079837001623557</v>
      </c>
    </row>
    <row r="15" spans="1:11" x14ac:dyDescent="0.25">
      <c r="A15" s="19" t="s">
        <v>58</v>
      </c>
      <c r="B15" s="20">
        <f>B13*B14</f>
        <v>1927783772.6641414</v>
      </c>
      <c r="C15" s="20">
        <f>C13*C14</f>
        <v>1923162688.6163635</v>
      </c>
      <c r="D15" s="20">
        <f>D13*D14</f>
        <v>1894133847.8652666</v>
      </c>
      <c r="E15" s="20">
        <f>E13*E14</f>
        <v>1854747654.7449083</v>
      </c>
      <c r="F15" s="20">
        <f>F13*F14</f>
        <v>1805609498.1045697</v>
      </c>
      <c r="G15" s="20">
        <f>G13*G14</f>
        <v>1747482333.3638804</v>
      </c>
      <c r="H15" s="20">
        <f>H13*H14</f>
        <v>1681266911.2272956</v>
      </c>
      <c r="I15" s="20">
        <f>I13*I14</f>
        <v>1607978379.9719093</v>
      </c>
      <c r="J15" s="20">
        <f>J13*J14</f>
        <v>1528720115.9390147</v>
      </c>
      <c r="K15" s="20">
        <f>K13*K14</f>
        <v>1444655734.4520535</v>
      </c>
    </row>
    <row r="17" spans="1:2" x14ac:dyDescent="0.25">
      <c r="A17" s="22" t="s">
        <v>59</v>
      </c>
      <c r="B17" s="23">
        <f>SUM(B15:K15)</f>
        <v>17415540936.9494</v>
      </c>
    </row>
    <row r="19" spans="1:11" x14ac:dyDescent="0.25">
      <c r="A19" t="s">
        <v>7</v>
      </c>
      <c r="B19" s="9">
        <f>Assumptions!$B$10+($B$20-Assumptions!$B$10)*0/9</f>
        <v>0.038711106118723575</v>
      </c>
      <c r="C19" s="9">
        <f>Assumptions!$B$10+($B$20-Assumptions!$B$10)*1/9</f>
        <v>0.039743529001448015</v>
      </c>
      <c r="D19" s="9">
        <f>Assumptions!$B$10+($B$20-Assumptions!$B$10)*2/9</f>
        <v>0.040775951884172455</v>
      </c>
      <c r="E19" s="9">
        <f>Assumptions!$B$10+($B$20-Assumptions!$B$10)*3/9</f>
        <v>0.041808374766896896</v>
      </c>
      <c r="F19" s="9">
        <f>Assumptions!$B$10+($B$20-Assumptions!$B$10)*4/9</f>
        <v>0.042840797649621336</v>
      </c>
      <c r="G19" s="9">
        <f>Assumptions!$B$10+($B$20-Assumptions!$B$10)*5/9</f>
        <v>0.043873220532345776</v>
      </c>
      <c r="H19" s="9">
        <f>Assumptions!$B$10+($B$20-Assumptions!$B$10)*6/9</f>
        <v>0.044905643415070216</v>
      </c>
      <c r="I19" s="9">
        <f>Assumptions!$B$10+($B$20-Assumptions!$B$10)*7/9</f>
        <v>0.04593806629779466</v>
      </c>
      <c r="J19" s="9">
        <f>Assumptions!$B$10+($B$20-Assumptions!$B$10)*8/9</f>
        <v>0.0469704891805191</v>
      </c>
      <c r="K19" s="9">
        <f>Assumptions!$B$10+($B$20-Assumptions!$B$10)*9/9</f>
        <v>0.04800291206324354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0.04800291206324354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3204660510.196663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3606130046.2246356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0.09852933562470385</v>
      </c>
    </row>
    <row r="7" spans="1:2" x14ac:dyDescent="0.25">
      <c r="A7" t="s">
        <v>66</v>
      </c>
      <c r="B7" s="18">
        <f>-MAX(B5,0)*B6</f>
        <v>-355309597.63079596</v>
      </c>
    </row>
    <row r="8" spans="1:2" x14ac:dyDescent="0.25">
      <c r="A8" t="s">
        <v>67</v>
      </c>
      <c r="B8" s="18">
        <f>IF(OR(Assumptions!$B$33=0,Assumptions!B12&lt;=0),B5,MAX(B5+B7,0))</f>
        <v>3250820448.5938396</v>
      </c>
    </row>
    <row r="9" spans="1:2" x14ac:dyDescent="0.25">
      <c r="A9" t="s">
        <v>68</v>
      </c>
      <c r="B9" s="18">
        <f>B8*(1+Assumptions!B12)/(Assumptions!B26-Assumptions!B12)</f>
        <v>53327030316.1298</v>
      </c>
    </row>
    <row r="10" spans="1:2" x14ac:dyDescent="0.25">
      <c r="A10" t="s">
        <v>69</v>
      </c>
      <c r="B10" s="18">
        <f>B9/(1+Assumptions!B26)^(10-0.5*Assumptions!B32)</f>
        <v>24039738344.31769</v>
      </c>
    </row>
    <row r="11" spans="1:2" x14ac:dyDescent="0.25">
      <c r="A11" t="s">
        <v>70</v>
      </c>
      <c r="B11" s="18">
        <f>Forecast!B17+B10</f>
        <v>41455279281.26709</v>
      </c>
    </row>
    <row r="12" spans="1:2" x14ac:dyDescent="0.25">
      <c r="A12" t="s">
        <v>71</v>
      </c>
      <c r="B12" s="18">
        <f>-Assumptions!B30</f>
        <v>-2416939000</v>
      </c>
    </row>
    <row r="13" spans="1:2" x14ac:dyDescent="0.25">
      <c r="A13" t="s">
        <v>72</v>
      </c>
      <c r="B13" s="18">
        <f>B11+B12</f>
        <v>39038340281.26709</v>
      </c>
    </row>
    <row r="14" spans="1:2" x14ac:dyDescent="0.25">
      <c r="A14" s="19" t="s">
        <v>73</v>
      </c>
      <c r="B14" s="24">
        <f>B13/Assumptions!B31</f>
        <v>96.1069143328658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5079680738.293543</v>
      </c>
    </row>
    <row r="18" spans="1:2" x14ac:dyDescent="0.25">
      <c r="A18" t="s">
        <v>68</v>
      </c>
      <c r="B18" s="18">
        <f>B17*Assumptions!B13</f>
        <v>101593614765.87085</v>
      </c>
    </row>
    <row r="19" spans="1:2" x14ac:dyDescent="0.25">
      <c r="A19" t="s">
        <v>69</v>
      </c>
      <c r="B19" s="18">
        <f>B18/(1+Assumptions!B26)^(10-0.5*Assumptions!B32)</f>
        <v>45798235940.51194</v>
      </c>
    </row>
    <row r="20" spans="1:2" x14ac:dyDescent="0.25">
      <c r="A20" t="s">
        <v>70</v>
      </c>
      <c r="B20" s="18">
        <f>Forecast!B17+B19</f>
        <v>63213776877.46134</v>
      </c>
    </row>
    <row r="21" spans="1:2" x14ac:dyDescent="0.25">
      <c r="A21" t="s">
        <v>71</v>
      </c>
      <c r="B21" s="18">
        <f>-Assumptions!B30</f>
        <v>-2416939000</v>
      </c>
    </row>
    <row r="22" spans="1:2" x14ac:dyDescent="0.25">
      <c r="A22" t="s">
        <v>72</v>
      </c>
      <c r="B22" s="18">
        <f>B20+B21</f>
        <v>60796837877.46134</v>
      </c>
    </row>
    <row r="23" spans="1:2" x14ac:dyDescent="0.25">
      <c r="A23" s="19" t="s">
        <v>73</v>
      </c>
      <c r="B23" s="25">
        <f>B22/Assumptions!B31</f>
        <v>149.67328138184513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219.82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96.1069143328658</v>
      </c>
    </row>
    <row r="29" spans="1:2" x14ac:dyDescent="0.25">
      <c r="A29" s="19" t="s">
        <v>81</v>
      </c>
      <c r="B29" s="11">
        <f>B28/B26-1</f>
        <v>-0.5627926743114102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0.067484</v>
      </c>
      <c r="B5" s="31">
        <v>128.81704221767666</v>
      </c>
      <c r="C5" s="31">
        <v>135.90573049615497</v>
      </c>
      <c r="D5" s="31">
        <v>144.7609424471658</v>
      </c>
      <c r="E5" s="31">
        <v>156.0895891551182</v>
      </c>
      <c r="F5" s="31">
        <v>171.03381818047654</v>
      </c>
    </row>
    <row r="6" spans="1:6" x14ac:dyDescent="0.25">
      <c r="A6" s="30">
        <v>0.077484</v>
      </c>
      <c r="B6" s="31">
        <v>106.59520492871954</v>
      </c>
      <c r="C6" s="31">
        <v>110.75403603369128</v>
      </c>
      <c r="D6" s="31">
        <v>115.78020539030429</v>
      </c>
      <c r="E6" s="31">
        <v>121.94770157944097</v>
      </c>
      <c r="F6" s="31">
        <v>129.65949754357035</v>
      </c>
    </row>
    <row r="7" spans="1:6" x14ac:dyDescent="0.25">
      <c r="A7" s="30">
        <v>0.087484</v>
      </c>
      <c r="B7" s="31">
        <v>90.55480952691482</v>
      </c>
      <c r="C7" s="31">
        <v>93.09768750315128</v>
      </c>
      <c r="D7" s="32">
        <v>96.10706286168761</v>
      </c>
      <c r="E7" s="31">
        <v>99.70466444419289</v>
      </c>
      <c r="F7" s="31">
        <v>104.05860812139973</v>
      </c>
    </row>
    <row r="8" spans="1:6" x14ac:dyDescent="0.25">
      <c r="A8" s="30">
        <v>0.097484</v>
      </c>
      <c r="B8" s="31">
        <v>78.44430580654088</v>
      </c>
      <c r="C8" s="31">
        <v>80.03194561980455</v>
      </c>
      <c r="D8" s="31">
        <v>81.88719697068551</v>
      </c>
      <c r="E8" s="31">
        <v>84.06954318951769</v>
      </c>
      <c r="F8" s="31">
        <v>86.65750714646421</v>
      </c>
    </row>
    <row r="9" spans="1:6" x14ac:dyDescent="0.25">
      <c r="A9" s="30">
        <v>0.107484</v>
      </c>
      <c r="B9" s="31">
        <v>68.98621321533304</v>
      </c>
      <c r="C9" s="31">
        <v>69.9804046804028</v>
      </c>
      <c r="D9" s="31">
        <v>71.13557003020702</v>
      </c>
      <c r="E9" s="31">
        <v>72.48287193408413</v>
      </c>
      <c r="F9" s="31">
        <v>74.06207155740982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11264761000</v>
      </c>
      <c r="C5" s="18">
        <v>10340181000</v>
      </c>
      <c r="D5" s="18">
        <v>9596615000</v>
      </c>
      <c r="E5" s="18">
        <v>8815769000</v>
      </c>
      <c r="F5" s="6" t="s">
        <v>91</v>
      </c>
    </row>
    <row r="6" spans="1:6" x14ac:dyDescent="0.25">
      <c r="A6" t="s">
        <v>51</v>
      </c>
      <c r="B6" s="18">
        <v>2621648000</v>
      </c>
      <c r="C6" s="18">
        <v>2359726000</v>
      </c>
      <c r="D6" s="18">
        <v>2068633000</v>
      </c>
      <c r="E6" s="18">
        <v>1802664000</v>
      </c>
      <c r="F6" s="6" t="s">
        <v>92</v>
      </c>
    </row>
    <row r="7" spans="1:6" x14ac:dyDescent="0.25">
      <c r="A7" t="s">
        <v>93</v>
      </c>
      <c r="B7" s="18">
        <v>512846000</v>
      </c>
      <c r="C7" s="18">
        <v>494183000</v>
      </c>
      <c r="D7" s="18">
        <v>456870000</v>
      </c>
      <c r="E7" s="18">
        <v>419344000</v>
      </c>
      <c r="F7" s="6" t="s">
        <v>94</v>
      </c>
    </row>
    <row r="8" spans="1:6" x14ac:dyDescent="0.25">
      <c r="A8" t="s">
        <v>95</v>
      </c>
      <c r="B8" s="18">
        <v>395105000</v>
      </c>
      <c r="C8" s="18">
        <v>408884000</v>
      </c>
      <c r="D8" s="18">
        <v>409469000</v>
      </c>
      <c r="E8" s="18">
        <v>331109000</v>
      </c>
      <c r="F8" s="6" t="s">
        <v>96</v>
      </c>
    </row>
    <row r="9" spans="1:6" x14ac:dyDescent="0.25">
      <c r="A9" t="s">
        <v>97</v>
      </c>
      <c r="B9" s="18">
        <v>422702000</v>
      </c>
      <c r="C9" s="18">
        <v>243740000</v>
      </c>
      <c r="D9" s="18">
        <v>48036000</v>
      </c>
      <c r="E9" s="18">
        <v>307980000</v>
      </c>
      <c r="F9" s="6" t="s">
        <v>98</v>
      </c>
    </row>
    <row r="10" spans="1:6" x14ac:dyDescent="0.25">
      <c r="A10" t="s">
        <v>99</v>
      </c>
      <c r="B10" s="18">
        <v>2705957000</v>
      </c>
      <c r="C10" s="18">
        <v>2654481000</v>
      </c>
      <c r="D10" s="18">
        <v>2668080000</v>
      </c>
      <c r="E10" s="18">
        <v>2668393000</v>
      </c>
      <c r="F10" s="6" t="s">
        <v>100</v>
      </c>
    </row>
    <row r="11" spans="1:6" x14ac:dyDescent="0.25">
      <c r="A11" t="s">
        <v>101</v>
      </c>
      <c r="B11" s="18">
        <v>289018000</v>
      </c>
      <c r="C11" s="18">
        <v>263973000</v>
      </c>
      <c r="D11" s="18">
        <v>342015000</v>
      </c>
      <c r="E11" s="18">
        <v>124149000</v>
      </c>
      <c r="F11" s="6" t="s">
        <v>102</v>
      </c>
    </row>
    <row r="12" spans="1:6" x14ac:dyDescent="0.25">
      <c r="A12" t="s">
        <v>34</v>
      </c>
      <c r="B12" s="34">
        <v>406197000</v>
      </c>
      <c r="C12" s="34">
        <v>410286000</v>
      </c>
      <c r="D12" s="34">
        <v>413468000</v>
      </c>
      <c r="E12" s="34">
        <v>413508000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