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<sst xmlns="http://schemas.openxmlformats.org/spreadsheetml/2006/main" count="112" uniqueCount="100">
  <si>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Cintas Corporation (CTAS)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</si>
  <si>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</si>
  <si>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</si>
  <si>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</si>
  <si>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</si>
  <si>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</si>
  <si>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</si>
  <si>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</si>
  <si>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</si>
  <si>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</si>
  <si>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</si>
  <si>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</si>
  <si>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</si>
  <si>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</si>
  <si>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</si>
  <si>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</si>
  <si>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</si>
  <si>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</si>
  <si>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</si>
  <si>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</si>
  <si>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</si>
  <si>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</si>
  <si>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</si>
  <si>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</si>
  <si>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</si>
  <si>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</si>
  <si>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</si>
  <si>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</si>
  <si>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</si>
  <si>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</si>
  <si>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</si>
  <si>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</si>
  <si>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</si>
  <si>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</si>
  <si>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</si>
  <si>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</si>
  <si>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</si>
  <si>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</si>
  <si>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</si>
  <si>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</si>
  <si>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</si>
  <si>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</si>
  <si>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</si>
  <si>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</si>
  <si>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</si>
  <si>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</si>
  <si>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</si>
  <si>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</si>
  <si>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</si>
  <si>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</si>
  <si>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</si>
  <si>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</si>
  <si>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</si>
  <si>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</si>
  <si>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</si>
  <si>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</si>
  <si>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</si>
  <si>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</si>
  <si>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</si>
  <si>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</si>
  <si>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</si>
  <si>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</si>
  <si>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</si>
  <si>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</si>
  <si>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</si>
  <si>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</si>
  <si>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</si>
  <si>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</si>
  <si>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</si>
  <si>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</si>
  <si>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</si>
  <si>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</si>
  <si>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</si>
  <si>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</si>
  <si>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</si>
  <si>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</si>
  <si>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</si>
  <si>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</si>
  <si>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</si>
  <si>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</si>
  <si>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</si>
  <si>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</si>
  <si>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</si>
  <si>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</si>
  <si>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</si>
  <si>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</si>
  <si>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</si>
  <si>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</si>
  <si>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</si>
  <si>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</si>
  <si>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</si>
  <si>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</si>
  <si>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</si>
  <si>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</si>
  <si>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</si>
  <si>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</si>
  <si>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</si>
  <si>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</si>
  <si>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26.0x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</si>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</sst>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0.08514371661641951</v>
      </c>
    </row>
    <row r="7" spans="1:2" x14ac:dyDescent="0.25">
      <c r="A7" t="s">
        <v>5</v>
      </c>
      <c r="B7" s="6">
        <v>0.22024493556024108</v>
      </c>
    </row>
    <row r="8" spans="1:2" x14ac:dyDescent="0.25">
      <c r="A8" t="s">
        <v>6</v>
      </c>
      <c r="B8" s="6">
        <v>0.20271144223017462</v>
      </c>
    </row>
    <row r="9" spans="1:2" x14ac:dyDescent="0.25">
      <c r="A9" t="s">
        <v>7</v>
      </c>
      <c r="B9" s="6">
        <v>0.04712349190721544</v>
      </c>
    </row>
    <row r="10" spans="1:2" x14ac:dyDescent="0.25">
      <c r="A10" t="s">
        <v>8</v>
      </c>
      <c r="B10" s="6">
        <v>0.038711106118723575</v>
      </c>
    </row>
    <row r="11" spans="1:2" x14ac:dyDescent="0.25">
      <c r="A11" t="s">
        <v>9</v>
      </c>
      <c r="B11" s="6">
        <v>0.3277987428150292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0.25373153935823206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0.94171</v>
      </c>
      <c r="C19" s="8" t="s">
        <v>19</v>
      </c>
    </row>
    <row r="20" spans="1:2" x14ac:dyDescent="0.25">
      <c r="A20" t="s">
        <v>20</v>
      </c>
      <c r="B20" s="10">
        <f>B17+B19*B18</f>
        <v>0.10177405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79089516544</v>
      </c>
    </row>
    <row r="23" spans="1:2" x14ac:dyDescent="0.25">
      <c r="A23" t="s">
        <v>24</v>
      </c>
      <c r="B23" s="11">
        <v>2705957000</v>
      </c>
    </row>
    <row r="24" spans="1:2" x14ac:dyDescent="0.25">
      <c r="A24" t="s">
        <v>25</v>
      </c>
      <c r="B24" s="10">
        <f>B22/(B22+B23)</f>
        <v>0.9669180104624691</v>
      </c>
    </row>
    <row r="25" spans="1:2" x14ac:dyDescent="0.25">
      <c r="A25" t="s">
        <v>26</v>
      </c>
      <c r="B25" s="10">
        <f>1-B24</f>
        <v>0.03308198953753094</v>
      </c>
    </row>
    <row r="26" spans="1:2" x14ac:dyDescent="0.25">
      <c r="A26" t="s">
        <v>27</v>
      </c>
      <c r="B26" s="12">
        <f>B24*B20+B25*B21*(1-B8)</f>
        <v>0.09972542901120005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11264761000</v>
      </c>
      <c r="C29" s="8" t="s">
        <v>30</v>
      </c>
    </row>
    <row r="30" spans="1:2" x14ac:dyDescent="0.25">
      <c r="A30" t="s">
        <v>31</v>
      </c>
      <c r="B30" s="11">
        <v>2416939000</v>
      </c>
    </row>
    <row r="31" spans="1:2" x14ac:dyDescent="0.25">
      <c r="A31" t="s">
        <v>32</v>
      </c>
      <c r="B31" s="13">
        <v>406197000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0.08514371661641951</v>
      </c>
      <c r="C5" s="10">
        <f>Assumptions!B6</f>
        <v>0.08514371661641951</v>
      </c>
      <c r="D5" s="10">
        <f>Assumptions!B6</f>
        <v>0.08514371661641951</v>
      </c>
      <c r="E5" s="10">
        <f>Assumptions!B6</f>
        <v>0.08514371661641951</v>
      </c>
      <c r="F5" s="10">
        <f>Assumptions!B6</f>
        <v>0.08514371661641951</v>
      </c>
    </row>
    <row r="6" spans="1:6" x14ac:dyDescent="0.25">
      <c r="A6" t="s">
        <v>43</v>
      </c>
      <c r="B6" s="18">
        <f>Assumptions!B29*(1+B5)</f>
        <v>12223884618.335695</v>
      </c>
      <c r="C6" s="18">
        <f>B6*(1+C5)</f>
        <v>13264671586.23108</v>
      </c>
      <c r="D6" s="18">
        <f>C6*(1+D5)</f>
        <v>14394075024.77901</v>
      </c>
      <c r="E6" s="18">
        <f>D6*(1+E5)</f>
        <v>15619640069.644276</v>
      </c>
      <c r="F6" s="18">
        <f>E6*(1+F5)</f>
        <v>16949554277.384539</v>
      </c>
    </row>
    <row r="7" spans="1:6" x14ac:dyDescent="0.25">
      <c r="A7" t="s">
        <v>5</v>
      </c>
      <c r="B7" s="10">
        <f>Assumptions!B7</f>
        <v>0.22024493556024108</v>
      </c>
      <c r="C7" s="10">
        <f>Assumptions!B7</f>
        <v>0.22024493556024108</v>
      </c>
      <c r="D7" s="10">
        <f>Assumptions!B7</f>
        <v>0.22024493556024108</v>
      </c>
      <c r="E7" s="10">
        <f>Assumptions!B7</f>
        <v>0.22024493556024108</v>
      </c>
      <c r="F7" s="10">
        <f>Assumptions!B7</f>
        <v>0.22024493556024108</v>
      </c>
    </row>
    <row r="8" spans="1:6" x14ac:dyDescent="0.25">
      <c r="A8" t="s">
        <v>44</v>
      </c>
      <c r="B8" s="18">
        <f>B6*B7</f>
        <v>2692248680.0611672</v>
      </c>
      <c r="C8" s="18">
        <f>C6*C7</f>
        <v>2921476738.737225</v>
      </c>
      <c r="D8" s="18">
        <f>D6*D7</f>
        <v>3170222126.2817287</v>
      </c>
      <c r="E8" s="18">
        <f>E6*E7</f>
        <v>3440146620.612963</v>
      </c>
      <c r="F8" s="18">
        <f>F6*F7</f>
        <v>3733053489.5973663</v>
      </c>
    </row>
    <row r="9" spans="1:6" x14ac:dyDescent="0.25">
      <c r="A9" t="s">
        <v>45</v>
      </c>
      <c r="B9" s="18">
        <f>B8*(1-Assumptions!B8)</f>
        <v>2146499067.2836843</v>
      </c>
      <c r="C9" s="18">
        <f>C8*(1-Assumptions!B8)</f>
        <v>2329259975.585895</v>
      </c>
      <c r="D9" s="18">
        <f>D8*(1-Assumptions!B8)</f>
        <v>2527581826.873149</v>
      </c>
      <c r="E9" s="18">
        <f>E8*(1-Assumptions!B8)</f>
        <v>2742789537.6652484</v>
      </c>
      <c r="F9" s="18">
        <f>F8*(1-Assumptions!B8)</f>
        <v>2976320832.7986984</v>
      </c>
    </row>
    <row r="10" spans="1:6" x14ac:dyDescent="0.25">
      <c r="A10" t="s">
        <v>46</v>
      </c>
      <c r="B10" s="18">
        <f>B6*Assumptions!B9</f>
        <v>576032127.8868774</v>
      </c>
      <c r="C10" s="18">
        <f>C6*Assumptions!B9</f>
        <v>625077644.1456308</v>
      </c>
      <c r="D10" s="18">
        <f>D6*Assumptions!B9</f>
        <v>678299077.9420255</v>
      </c>
      <c r="E10" s="18">
        <f>E6*Assumptions!B9</f>
        <v>736051982.4155</v>
      </c>
      <c r="F10" s="18">
        <f>F6*Assumptions!B9</f>
        <v>798722183.8212391</v>
      </c>
    </row>
    <row r="11" spans="1:6" x14ac:dyDescent="0.25">
      <c r="A11" t="s">
        <v>47</v>
      </c>
      <c r="B11" s="18">
        <f>-B6*Assumptions!B10</f>
        <v>-473200094.64342594</v>
      </c>
      <c r="C11" s="18">
        <f>-C6*Assumptions!B10</f>
        <v>-513490109.40460867</v>
      </c>
      <c r="D11" s="18">
        <f>-D6*Assumptions!B10</f>
        <v>-557210565.7650889</v>
      </c>
      <c r="E11" s="18">
        <f>-E6*Assumptions!B10</f>
        <v>-604653544.2722664</v>
      </c>
      <c r="F11" s="18">
        <f>-F6*Assumptions!B10</f>
        <v>-656135994.296898</v>
      </c>
    </row>
    <row r="12" spans="1:6" x14ac:dyDescent="0.25">
      <c r="A12" t="s">
        <v>48</v>
      </c>
      <c r="B12" s="18">
        <f>-(B6-Assumptions!B29)*Assumptions!B11</f>
        <v>-314399516.2946428</v>
      </c>
      <c r="C12" s="18">
        <f>-(C6-B6)*Assumptions!B11</f>
        <v>-341168659.61437297</v>
      </c>
      <c r="D12" s="18">
        <f>-(D6-C6)*Assumptions!B11</f>
        <v>-370217027.2869831</v>
      </c>
      <c r="E12" s="18">
        <f>-(E6-D6)*Assumptions!B11</f>
        <v>-401738680.9448787</v>
      </c>
      <c r="F12" s="18">
        <f>-(F6-E6)*Assumptions!B11</f>
        <v>-435944205.34910375</v>
      </c>
    </row>
    <row r="13" spans="1:6" x14ac:dyDescent="0.25">
      <c r="A13" s="19" t="s">
        <v>49</v>
      </c>
      <c r="B13" s="20">
        <f>B9+B10+B11+B12</f>
        <v>1934931584.232493</v>
      </c>
      <c r="C13" s="20">
        <f>C9+C10+C11+C12</f>
        <v>2099678850.7125442</v>
      </c>
      <c r="D13" s="20">
        <f>D9+D10+D11+D12</f>
        <v>2278453311.7631025</v>
      </c>
      <c r="E13" s="20">
        <f>E9+E10+E11+E12</f>
        <v>2472449294.8636036</v>
      </c>
      <c r="F13" s="20">
        <f>F9+F10+F11+F12</f>
        <v>2682962816.9739356</v>
      </c>
    </row>
    <row r="14" spans="1:6" x14ac:dyDescent="0.25">
      <c r="A14" t="s">
        <v>50</v>
      </c>
      <c r="B14" s="21">
        <f>1/(1+Assumptions!$B$26)^(1-0.5*Assumptions!$B$32)</f>
        <v>0.9535816084209341</v>
      </c>
      <c r="C14" s="21">
        <f>1/(1+Assumptions!$B$26)^(2-0.5*Assumptions!$B$32)</f>
        <v>0.8671088103130717</v>
      </c>
      <c r="D14" s="21">
        <f>1/(1+Assumptions!$B$26)^(3-0.5*Assumptions!$B$32)</f>
        <v>0.7884775485211053</v>
      </c>
      <c r="E14" s="21">
        <f>1/(1+Assumptions!$B$26)^(4-0.5*Assumptions!$B$32)</f>
        <v>0.7169767359385805</v>
      </c>
      <c r="F14" s="21">
        <f>1/(1+Assumptions!$B$26)^(5-0.5*Assumptions!$B$32)</f>
        <v>0.6519597683425747</v>
      </c>
    </row>
    <row r="15" spans="1:6" x14ac:dyDescent="0.25">
      <c r="A15" s="19" t="s">
        <v>51</v>
      </c>
      <c r="B15" s="20">
        <f>B13*B14</f>
        <v>1845115172.2768867</v>
      </c>
      <c r="C15" s="20">
        <f>C13*C14</f>
        <v>1820650030.2808719</v>
      </c>
      <c r="D15" s="20">
        <f>D13*D14</f>
        <v>1796509281.6787648</v>
      </c>
      <c r="E15" s="20">
        <f>E13*E14</f>
        <v>1772688625.2049513</v>
      </c>
      <c r="F15" s="20">
        <f>F13*F14</f>
        <v>1749183816.6260688</v>
      </c>
    </row>
    <row r="17" spans="1:2" x14ac:dyDescent="0.25">
      <c r="A17" s="22" t="s">
        <v>52</v>
      </c>
      <c r="B17" s="23">
        <f>SUM(B15:F15)</f>
        <v>8984146926.067543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2682962816.9739356</v>
      </c>
    </row>
    <row r="5" spans="1:2" x14ac:dyDescent="0.25">
      <c r="A5" t="s">
        <v>56</v>
      </c>
      <c r="B5" s="18">
        <f>IF(Assumptions!$B$33=0,B4,B4-Forecast!F11-Forecast!F10-Forecast!F12)</f>
        <v>3217165263.058377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0.09852933562470385</v>
      </c>
    </row>
    <row r="7" spans="1:2" x14ac:dyDescent="0.25">
      <c r="A7" t="s">
        <v>58</v>
      </c>
      <c r="B7" s="18">
        <f>-MAX(Forecast!F9,0)*B6</f>
        <v>-316985155.96401745</v>
      </c>
    </row>
    <row r="8" spans="1:2" x14ac:dyDescent="0.25">
      <c r="A8" t="s">
        <v>59</v>
      </c>
      <c r="B8" s="18">
        <f>IF(OR(Assumptions!$B$33=0,Assumptions!B12&lt;=0),B5,MAX(B5+B7,0))</f>
        <v>2900180107.0943594</v>
      </c>
    </row>
    <row r="9" spans="1:2" x14ac:dyDescent="0.25">
      <c r="A9" t="s">
        <v>60</v>
      </c>
      <c r="B9" s="18">
        <f>B8*(1+Assumptions!B12)/(Assumptions!B26-Assumptions!B12)</f>
        <v>39781432493.69855</v>
      </c>
    </row>
    <row r="10" spans="1:2" x14ac:dyDescent="0.25">
      <c r="A10" t="s">
        <v>61</v>
      </c>
      <c r="B10" s="18">
        <f>B9/(1+Assumptions!B26)^(5-0.5*Assumptions!B32)</f>
        <v>25935893512.92748</v>
      </c>
    </row>
    <row r="11" spans="1:2" x14ac:dyDescent="0.25">
      <c r="A11" t="s">
        <v>62</v>
      </c>
      <c r="B11" s="18">
        <f>Forecast!B17+B10</f>
        <v>34920040438.995026</v>
      </c>
    </row>
    <row r="12" spans="1:2" x14ac:dyDescent="0.25">
      <c r="A12" t="s">
        <v>63</v>
      </c>
      <c r="B12" s="18">
        <f>-Assumptions!B30</f>
        <v>-2416939000</v>
      </c>
    </row>
    <row r="13" spans="1:2" x14ac:dyDescent="0.25">
      <c r="A13" t="s">
        <v>64</v>
      </c>
      <c r="B13" s="18">
        <f>B11+B12</f>
        <v>32503101438.995026</v>
      </c>
    </row>
    <row r="14" spans="1:2" x14ac:dyDescent="0.25">
      <c r="A14" s="19" t="s">
        <v>65</v>
      </c>
      <c r="B14" s="24">
        <f>B13/Assumptions!B31</f>
        <v>80.01807359235796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4531775673.418606</v>
      </c>
    </row>
    <row r="18" spans="1:2" x14ac:dyDescent="0.25">
      <c r="A18" t="s">
        <v>60</v>
      </c>
      <c r="B18" s="18">
        <f>B17*Assumptions!B13</f>
        <v>90635513468.37212</v>
      </c>
    </row>
    <row r="19" spans="1:2" x14ac:dyDescent="0.25">
      <c r="A19" t="s">
        <v>61</v>
      </c>
      <c r="B19" s="18">
        <f>B18/(1+Assumptions!B26)^(5-0.5*Assumptions!B32)</f>
        <v>59090708364.450195</v>
      </c>
    </row>
    <row r="20" spans="1:2" x14ac:dyDescent="0.25">
      <c r="A20" t="s">
        <v>62</v>
      </c>
      <c r="B20" s="18">
        <f>Forecast!B17+B19</f>
        <v>68074855290.51774</v>
      </c>
    </row>
    <row r="21" spans="1:2" x14ac:dyDescent="0.25">
      <c r="A21" t="s">
        <v>63</v>
      </c>
      <c r="B21" s="18">
        <f>-Assumptions!B30</f>
        <v>-2416939000</v>
      </c>
    </row>
    <row r="22" spans="1:2" x14ac:dyDescent="0.25">
      <c r="A22" t="s">
        <v>64</v>
      </c>
      <c r="B22" s="18">
        <f>B20+B21</f>
        <v>65657916290.51774</v>
      </c>
    </row>
    <row r="23" spans="1:2" x14ac:dyDescent="0.25">
      <c r="A23" s="19" t="s">
        <v>65</v>
      </c>
      <c r="B23" s="25">
        <f>B22/Assumptions!B31</f>
        <v>161.64057413156112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197.64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80.01807359235796</v>
      </c>
    </row>
    <row r="29" spans="1:2" x14ac:dyDescent="0.25">
      <c r="A29" s="19" t="s">
        <v>73</v>
      </c>
      <c r="B29" s="12">
        <f>B28/B26-1</f>
        <v>-0.5951321919026615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0.079725</v>
      </c>
      <c r="B5" s="31">
        <v>99.95038489334445</v>
      </c>
      <c r="C5" s="31">
        <v>105.43212740101967</v>
      </c>
      <c r="D5" s="31">
        <v>111.89536411723424</v>
      </c>
      <c r="E5" s="31">
        <v>119.63617172631382</v>
      </c>
      <c r="F5" s="31">
        <v>129.0830256534786</v>
      </c>
    </row>
    <row r="6" spans="1:6" x14ac:dyDescent="0.25">
      <c r="A6" s="30">
        <v>0.089725</v>
      </c>
      <c r="B6" s="31">
        <v>85.4364543084883</v>
      </c>
      <c r="C6" s="31">
        <v>89.17936510086186</v>
      </c>
      <c r="D6" s="31">
        <v>93.48417412826147</v>
      </c>
      <c r="E6" s="31">
        <v>98.4920027557</v>
      </c>
      <c r="F6" s="31">
        <v>104.39554708186319</v>
      </c>
    </row>
    <row r="7" spans="1:6" x14ac:dyDescent="0.25">
      <c r="A7" s="30">
        <v>0.099725</v>
      </c>
      <c r="B7" s="31">
        <v>74.37092154927937</v>
      </c>
      <c r="C7" s="31">
        <v>77.02403126948447</v>
      </c>
      <c r="D7" s="32">
        <v>80.0185736007966</v>
      </c>
      <c r="E7" s="31">
        <v>83.4280012383267</v>
      </c>
      <c r="F7" s="31">
        <v>87.34846373160381</v>
      </c>
    </row>
    <row r="8" spans="1:6" x14ac:dyDescent="0.25">
      <c r="A8" s="30">
        <v>0.109725</v>
      </c>
      <c r="B8" s="31">
        <v>65.6605768458477</v>
      </c>
      <c r="C8" s="31">
        <v>67.59515720703513</v>
      </c>
      <c r="D8" s="31">
        <v>69.74654340494078</v>
      </c>
      <c r="E8" s="31">
        <v>72.15552675409299</v>
      </c>
      <c r="F8" s="31">
        <v>74.87381628451784</v>
      </c>
    </row>
    <row r="9" spans="1:6" x14ac:dyDescent="0.25">
      <c r="A9" s="30">
        <v>0.119725</v>
      </c>
      <c r="B9" s="31">
        <v>58.62982577796006</v>
      </c>
      <c r="C9" s="31">
        <v>60.07172822156594</v>
      </c>
      <c r="D9" s="31">
        <v>61.6559452340737</v>
      </c>
      <c r="E9" s="31">
        <v>63.40626860744245</v>
      </c>
      <c r="F9" s="31">
        <v>65.3521063725121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11264761000</v>
      </c>
      <c r="C5" s="18">
        <v>10340181000</v>
      </c>
      <c r="D5" s="18">
        <v>9596615000</v>
      </c>
      <c r="E5" s="18">
        <v>8815769000</v>
      </c>
      <c r="F5" s="8" t="s">
        <v>84</v>
      </c>
    </row>
    <row r="6" spans="1:6" x14ac:dyDescent="0.25">
      <c r="A6" t="s">
        <v>44</v>
      </c>
      <c r="B6" s="18">
        <v>2621648000</v>
      </c>
      <c r="C6" s="18">
        <v>2359726000</v>
      </c>
      <c r="D6" s="18">
        <v>2068633000</v>
      </c>
      <c r="E6" s="18">
        <v>1802664000</v>
      </c>
      <c r="F6" s="8" t="s">
        <v>85</v>
      </c>
    </row>
    <row r="7" spans="1:6" x14ac:dyDescent="0.25">
      <c r="A7" t="s">
        <v>86</v>
      </c>
      <c r="B7" s="18">
        <v>512846000</v>
      </c>
      <c r="C7" s="18">
        <v>494183000</v>
      </c>
      <c r="D7" s="18">
        <v>456870000</v>
      </c>
      <c r="E7" s="18">
        <v>419344000</v>
      </c>
      <c r="F7" s="8" t="s">
        <v>87</v>
      </c>
    </row>
    <row r="8" spans="1:6" x14ac:dyDescent="0.25">
      <c r="A8" t="s">
        <v>88</v>
      </c>
      <c r="B8" s="18">
        <v>395105000</v>
      </c>
      <c r="C8" s="18">
        <v>408884000</v>
      </c>
      <c r="D8" s="18">
        <v>409469000</v>
      </c>
      <c r="E8" s="18">
        <v>331109000</v>
      </c>
      <c r="F8" s="8" t="s">
        <v>89</v>
      </c>
    </row>
    <row r="9" spans="1:6" x14ac:dyDescent="0.25">
      <c r="A9" t="s">
        <v>90</v>
      </c>
      <c r="B9" s="18">
        <v>422702000</v>
      </c>
      <c r="C9" s="18">
        <v>243740000</v>
      </c>
      <c r="D9" s="18">
        <v>48036000</v>
      </c>
      <c r="E9" s="18">
        <v>307980000</v>
      </c>
      <c r="F9" s="8" t="s">
        <v>91</v>
      </c>
    </row>
    <row r="10" spans="1:6" x14ac:dyDescent="0.25">
      <c r="A10" t="s">
        <v>92</v>
      </c>
      <c r="B10" s="18">
        <v>2705957000</v>
      </c>
      <c r="C10" s="18">
        <v>2654481000</v>
      </c>
      <c r="D10" s="18">
        <v>2668080000</v>
      </c>
      <c r="E10" s="18">
        <v>2668393000</v>
      </c>
      <c r="F10" s="8" t="s">
        <v>93</v>
      </c>
    </row>
    <row r="11" spans="1:6" x14ac:dyDescent="0.25">
      <c r="A11" t="s">
        <v>94</v>
      </c>
      <c r="B11" s="18">
        <v>289018000</v>
      </c>
      <c r="C11" s="18">
        <v>263973000</v>
      </c>
      <c r="D11" s="18">
        <v>342015000</v>
      </c>
      <c r="E11" s="18">
        <v>124149000</v>
      </c>
      <c r="F11" s="8" t="s">
        <v>95</v>
      </c>
    </row>
    <row r="12" spans="1:6" x14ac:dyDescent="0.25">
      <c r="A12" t="s">
        <v>32</v>
      </c>
      <c r="B12" s="34">
        <v>406197000</v>
      </c>
      <c r="C12" s="34">
        <v>410286000</v>
      </c>
      <c r="D12" s="34">
        <v>413468000</v>
      </c>
      <c r="E12" s="34">
        <v>413508000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