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<sst xmlns="http://schemas.openxmlformats.org/spreadsheetml/2006/main" count="112" uniqueCount="100">
  <si>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Canadian Tire Corporation, Limited (CTC-A.TO)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</si>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</sst>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-0.028803118654912474</v>
      </c>
    </row>
    <row r="7" spans="1:2" x14ac:dyDescent="0.25">
      <c r="A7" t="s">
        <v>5</v>
      </c>
      <c r="B7" s="6">
        <v>0.08650357810053615</v>
      </c>
    </row>
    <row r="8" spans="1:2" x14ac:dyDescent="0.25">
      <c r="A8" t="s">
        <v>6</v>
      </c>
      <c r="B8" s="6">
        <v>0.25152312295745133</v>
      </c>
    </row>
    <row r="9" spans="1:2" x14ac:dyDescent="0.25">
      <c r="A9" t="s">
        <v>7</v>
      </c>
      <c r="B9" s="6">
        <v>0.04633839947376535</v>
      </c>
    </row>
    <row r="10" spans="1:2" x14ac:dyDescent="0.25">
      <c r="A10" t="s">
        <v>8</v>
      </c>
      <c r="B10" s="6">
        <v>0.040646613215023386</v>
      </c>
    </row>
    <row r="11" spans="1:2" x14ac:dyDescent="0.25">
      <c r="A11" t="s">
        <v>9</v>
      </c>
      <c r="B11" s="6">
        <v>0.3437965804471723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7.698641897554222</v>
      </c>
    </row>
    <row r="14" spans="1:3" x14ac:dyDescent="0.25">
      <c r="A14" t="s">
        <v>12</v>
      </c>
      <c r="B14" s="6">
        <v>0.08713363020730733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0.96583</v>
      </c>
      <c r="C19" s="8" t="s">
        <v>19</v>
      </c>
    </row>
    <row r="20" spans="1:2" x14ac:dyDescent="0.25">
      <c r="A20" t="s">
        <v>20</v>
      </c>
      <c r="B20" s="10">
        <f>B17+B19*B18</f>
        <v>0.08612064999999999</v>
      </c>
    </row>
    <row r="21" spans="1:3" x14ac:dyDescent="0.25">
      <c r="A21" t="s">
        <v>21</v>
      </c>
      <c r="B21" s="6">
        <v>0.04233843783107002</v>
      </c>
      <c r="C21" s="8" t="s">
        <v>22</v>
      </c>
    </row>
    <row r="22" spans="1:2" x14ac:dyDescent="0.25">
      <c r="A22" t="s">
        <v>23</v>
      </c>
      <c r="B22" s="11">
        <v>9686356992</v>
      </c>
    </row>
    <row r="23" spans="1:2" x14ac:dyDescent="0.25">
      <c r="A23" t="s">
        <v>24</v>
      </c>
      <c r="B23" s="11">
        <v>7669500000</v>
      </c>
    </row>
    <row r="24" spans="1:2" x14ac:dyDescent="0.25">
      <c r="A24" t="s">
        <v>25</v>
      </c>
      <c r="B24" s="10">
        <f>B22/(B22+B23)</f>
        <v>0.5581030655221937</v>
      </c>
    </row>
    <row r="25" spans="1:2" x14ac:dyDescent="0.25">
      <c r="A25" t="s">
        <v>26</v>
      </c>
      <c r="B25" s="10">
        <f>1-B24</f>
        <v>0.4418969344778063</v>
      </c>
    </row>
    <row r="26" spans="1:2" x14ac:dyDescent="0.25">
      <c r="A26" t="s">
        <v>27</v>
      </c>
      <c r="B26" s="12">
        <f>B24*B20+B25*B21*(1-B8)</f>
        <v>0.062067621734394327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16315500000</v>
      </c>
      <c r="C29" s="8" t="s">
        <v>30</v>
      </c>
    </row>
    <row r="30" spans="1:2" x14ac:dyDescent="0.25">
      <c r="A30" t="s">
        <v>31</v>
      </c>
      <c r="B30" s="11">
        <v>6996600000</v>
      </c>
    </row>
    <row r="31" spans="1:2" x14ac:dyDescent="0.25">
      <c r="A31" t="s">
        <v>32</v>
      </c>
      <c r="B31" s="13">
        <v>54460287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-0.028803118654912474</v>
      </c>
      <c r="C5" s="10">
        <f>Assumptions!B6</f>
        <v>-0.028803118654912474</v>
      </c>
      <c r="D5" s="10">
        <f>Assumptions!B6</f>
        <v>-0.028803118654912474</v>
      </c>
      <c r="E5" s="10">
        <f>Assumptions!B6</f>
        <v>-0.028803118654912474</v>
      </c>
      <c r="F5" s="10">
        <f>Assumptions!B6</f>
        <v>-0.028803118654912474</v>
      </c>
    </row>
    <row r="6" spans="1:6" x14ac:dyDescent="0.25">
      <c r="A6" t="s">
        <v>43</v>
      </c>
      <c r="B6" s="18">
        <f>Assumptions!B29*(1+B5)</f>
        <v>15845562717.585775</v>
      </c>
      <c r="C6" s="18">
        <f>B6*(1+C5)</f>
        <v>15389161094.477295</v>
      </c>
      <c r="D6" s="18">
        <f>C6*(1+D5)</f>
        <v>14945905261.473503</v>
      </c>
      <c r="E6" s="18">
        <f>D6*(1+E5)</f>
        <v>14515416578.8222</v>
      </c>
      <c r="F6" s="18">
        <f>E6*(1+F5)</f>
        <v>14097327312.776901</v>
      </c>
    </row>
    <row r="7" spans="1:6" x14ac:dyDescent="0.25">
      <c r="A7" t="s">
        <v>5</v>
      </c>
      <c r="B7" s="10">
        <f>Assumptions!B7</f>
        <v>0.08650357810053615</v>
      </c>
      <c r="C7" s="10">
        <f>Assumptions!B7</f>
        <v>0.08650357810053615</v>
      </c>
      <c r="D7" s="10">
        <f>Assumptions!B7</f>
        <v>0.08650357810053615</v>
      </c>
      <c r="E7" s="10">
        <f>Assumptions!B7</f>
        <v>0.08650357810053615</v>
      </c>
      <c r="F7" s="10">
        <f>Assumptions!B7</f>
        <v>0.08650357810053615</v>
      </c>
    </row>
    <row r="8" spans="1:6" x14ac:dyDescent="0.25">
      <c r="A8" t="s">
        <v>44</v>
      </c>
      <c r="B8" s="18">
        <f>B6*B7</f>
        <v>1370697872.0876248</v>
      </c>
      <c r="C8" s="18">
        <f>C6*C7</f>
        <v>1331217498.637849</v>
      </c>
      <c r="D8" s="18">
        <f>D6*D7</f>
        <v>1292874283.0690873</v>
      </c>
      <c r="E8" s="18">
        <f>E6*E7</f>
        <v>1255635471.6879635</v>
      </c>
      <c r="F8" s="18">
        <f>F6*F7</f>
        <v>1219469254.209618</v>
      </c>
    </row>
    <row r="9" spans="1:6" x14ac:dyDescent="0.25">
      <c r="A9" t="s">
        <v>45</v>
      </c>
      <c r="B9" s="18">
        <f>B8*(1-Assumptions!B8)</f>
        <v>1025935662.6690123</v>
      </c>
      <c r="C9" s="18">
        <f>C8*(1-Assumptions!B8)</f>
        <v>996385516.0448507</v>
      </c>
      <c r="D9" s="18">
        <f>D8*(1-Assumptions!B8)</f>
        <v>967686505.8001746</v>
      </c>
      <c r="E9" s="18">
        <f>E8*(1-Assumptions!B8)</f>
        <v>939814116.5528545</v>
      </c>
      <c r="F9" s="18">
        <f>F8*(1-Assumptions!B8)</f>
        <v>912744539.040221</v>
      </c>
    </row>
    <row r="10" spans="1:6" x14ac:dyDescent="0.25">
      <c r="A10" t="s">
        <v>46</v>
      </c>
      <c r="B10" s="18">
        <f>B6*Assumptions!B9</f>
        <v>734258015.0940925</v>
      </c>
      <c r="C10" s="18">
        <f>C6*Assumptions!B9</f>
        <v>713109094.3620169</v>
      </c>
      <c r="D10" s="18">
        <f>D6*Assumptions!B9</f>
        <v>692569328.5032105</v>
      </c>
      <c r="E10" s="18">
        <f>E6*Assumptions!B9</f>
        <v>672621171.9575795</v>
      </c>
      <c r="F10" s="18">
        <f>F6*Assumptions!B9</f>
        <v>653247584.5318791</v>
      </c>
    </row>
    <row r="11" spans="1:6" x14ac:dyDescent="0.25">
      <c r="A11" t="s">
        <v>47</v>
      </c>
      <c r="B11" s="18">
        <f>-B6*Assumptions!B10</f>
        <v>-644068458.9561038</v>
      </c>
      <c r="C11" s="18">
        <f>-C6*Assumptions!B10</f>
        <v>-625517278.7109046</v>
      </c>
      <c r="D11" s="18">
        <f>-D6*Assumptions!B10</f>
        <v>-607500430.3114965</v>
      </c>
      <c r="E11" s="18">
        <f>-E6*Assumptions!B10</f>
        <v>-590002523.334324</v>
      </c>
      <c r="F11" s="18">
        <f>-F6*Assumptions!B10</f>
        <v>-573008610.6480277</v>
      </c>
    </row>
    <row r="12" spans="1:6" x14ac:dyDescent="0.25">
      <c r="A12" t="s">
        <v>48</v>
      </c>
      <c r="B12" s="18">
        <f>-(B6-Assumptions!B29)*Assumptions!B11</f>
        <v>161562830.7186475</v>
      </c>
      <c r="C12" s="18">
        <f>-(C6-B6)*Assumptions!B11</f>
        <v>156909317.33523473</v>
      </c>
      <c r="D12" s="18">
        <f>-(D6-C6)*Assumptions!B11</f>
        <v>152389839.64996648</v>
      </c>
      <c r="E12" s="18">
        <f>-(E6-D6)*Assumptions!B11</f>
        <v>148000537.0167257</v>
      </c>
      <c r="F12" s="18">
        <f>-(F6-E6)*Assumptions!B11</f>
        <v>143737659.98804206</v>
      </c>
    </row>
    <row r="13" spans="1:6" x14ac:dyDescent="0.25">
      <c r="A13" s="19" t="s">
        <v>49</v>
      </c>
      <c r="B13" s="20">
        <f>B9+B10+B11+B12</f>
        <v>1277688049.5256486</v>
      </c>
      <c r="C13" s="20">
        <f>C9+C10+C11+C12</f>
        <v>1240886649.0311975</v>
      </c>
      <c r="D13" s="20">
        <f>D9+D10+D11+D12</f>
        <v>1205145243.6418552</v>
      </c>
      <c r="E13" s="20">
        <f>E9+E10+E11+E12</f>
        <v>1170433302.1928358</v>
      </c>
      <c r="F13" s="20">
        <f>F9+F10+F11+F12</f>
        <v>1136721172.9121146</v>
      </c>
    </row>
    <row r="14" spans="1:6" x14ac:dyDescent="0.25">
      <c r="A14" t="s">
        <v>50</v>
      </c>
      <c r="B14" s="21">
        <f>1/(1+Assumptions!$B$26)^(1-0.5*Assumptions!$B$32)</f>
        <v>0.970339957368986</v>
      </c>
      <c r="C14" s="21">
        <f>1/(1+Assumptions!$B$26)^(2-0.5*Assumptions!$B$32)</f>
        <v>0.9136329340163728</v>
      </c>
      <c r="D14" s="21">
        <f>1/(1+Assumptions!$B$26)^(3-0.5*Assumptions!$B$32)</f>
        <v>0.8602398899275149</v>
      </c>
      <c r="E14" s="21">
        <f>1/(1+Assumptions!$B$26)^(4-0.5*Assumptions!$B$32)</f>
        <v>0.8099671549375665</v>
      </c>
      <c r="F14" s="21">
        <f>1/(1+Assumptions!$B$26)^(5-0.5*Assumptions!$B$32)</f>
        <v>0.7626323770372185</v>
      </c>
    </row>
    <row r="15" spans="1:6" x14ac:dyDescent="0.25">
      <c r="A15" s="19" t="s">
        <v>51</v>
      </c>
      <c r="B15" s="20">
        <f>B13*B14</f>
        <v>1239791767.5075808</v>
      </c>
      <c r="C15" s="20">
        <f>C13*C14</f>
        <v>1133714909.9361181</v>
      </c>
      <c r="D15" s="20">
        <f>D13*D14</f>
        <v>1036714011.7371377</v>
      </c>
      <c r="E15" s="20">
        <f>E13*E14</f>
        <v>948012531.8213123</v>
      </c>
      <c r="F15" s="20">
        <f>F13*F14</f>
        <v>866900370.1265011</v>
      </c>
    </row>
    <row r="17" spans="1:2" x14ac:dyDescent="0.25">
      <c r="A17" s="22" t="s">
        <v>52</v>
      </c>
      <c r="B17" s="23">
        <f>SUM(B15:F15)</f>
        <v>5225133591.12865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1136721172.9121146</v>
      </c>
    </row>
    <row r="5" spans="1:2" x14ac:dyDescent="0.25">
      <c r="A5" t="s">
        <v>56</v>
      </c>
      <c r="B5" s="18">
        <f>IF(Assumptions!$B$33=0,B4,B4-Forecast!F11-Forecast!F10-Forecast!F12)</f>
        <v>989236763.884685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0.2869156253506286</v>
      </c>
    </row>
    <row r="7" spans="1:2" x14ac:dyDescent="0.25">
      <c r="A7" t="s">
        <v>58</v>
      </c>
      <c r="B7" s="18">
        <f>-MAX(Forecast!F9,0)*B6</f>
        <v>-283827484.72980654</v>
      </c>
    </row>
    <row r="8" spans="1:2" x14ac:dyDescent="0.25">
      <c r="A8" t="s">
        <v>59</v>
      </c>
      <c r="B8" s="18">
        <f>IF(OR(Assumptions!$B$33=0,Assumptions!B12&lt;=0),B5,MAX(B5+B7,0))</f>
        <v>705409279.1548785</v>
      </c>
    </row>
    <row r="9" spans="1:2" x14ac:dyDescent="0.25">
      <c r="A9" t="s">
        <v>60</v>
      </c>
      <c r="B9" s="18">
        <f>B8*(1+Assumptions!B12)/(Assumptions!B26-Assumptions!B12)</f>
        <v>19506093925.16951</v>
      </c>
    </row>
    <row r="10" spans="1:2" x14ac:dyDescent="0.25">
      <c r="A10" t="s">
        <v>61</v>
      </c>
      <c r="B10" s="18">
        <f>B9/(1+Assumptions!B26)^(5-0.5*Assumptions!B32)</f>
        <v>14875978776.863272</v>
      </c>
    </row>
    <row r="11" spans="1:2" x14ac:dyDescent="0.25">
      <c r="A11" t="s">
        <v>62</v>
      </c>
      <c r="B11" s="18">
        <f>Forecast!B17+B10</f>
        <v>20101112367.99192</v>
      </c>
    </row>
    <row r="12" spans="1:2" x14ac:dyDescent="0.25">
      <c r="A12" t="s">
        <v>63</v>
      </c>
      <c r="B12" s="18">
        <f>-Assumptions!B30</f>
        <v>-6996600000</v>
      </c>
    </row>
    <row r="13" spans="1:2" x14ac:dyDescent="0.25">
      <c r="A13" t="s">
        <v>64</v>
      </c>
      <c r="B13" s="18">
        <f>B11+B12</f>
        <v>13104512367.99192</v>
      </c>
    </row>
    <row r="14" spans="1:2" x14ac:dyDescent="0.25">
      <c r="A14" s="19" t="s">
        <v>65</v>
      </c>
      <c r="B14" s="24">
        <f>B13/Assumptions!B31</f>
        <v>240.62510665784632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1872716838.741497</v>
      </c>
    </row>
    <row r="18" spans="1:2" x14ac:dyDescent="0.25">
      <c r="A18" t="s">
        <v>60</v>
      </c>
      <c r="B18" s="18">
        <f>B17*Assumptions!B13</f>
        <v>14417376316.990583</v>
      </c>
    </row>
    <row r="19" spans="1:2" x14ac:dyDescent="0.25">
      <c r="A19" t="s">
        <v>61</v>
      </c>
      <c r="B19" s="18">
        <f>B18/(1+Assumptions!B26)^(5-0.5*Assumptions!B32)</f>
        <v>10995157971.266628</v>
      </c>
    </row>
    <row r="20" spans="1:2" x14ac:dyDescent="0.25">
      <c r="A20" t="s">
        <v>62</v>
      </c>
      <c r="B20" s="18">
        <f>Forecast!B17+B19</f>
        <v>16220291562.395279</v>
      </c>
    </row>
    <row r="21" spans="1:2" x14ac:dyDescent="0.25">
      <c r="A21" t="s">
        <v>63</v>
      </c>
      <c r="B21" s="18">
        <f>-Assumptions!B30</f>
        <v>-6996600000</v>
      </c>
    </row>
    <row r="22" spans="1:2" x14ac:dyDescent="0.25">
      <c r="A22" t="s">
        <v>64</v>
      </c>
      <c r="B22" s="18">
        <f>B20+B21</f>
        <v>9223691562.395279</v>
      </c>
    </row>
    <row r="23" spans="1:2" x14ac:dyDescent="0.25">
      <c r="A23" s="19" t="s">
        <v>65</v>
      </c>
      <c r="B23" s="25">
        <f>B22/Assumptions!B31</f>
        <v>169.36546005340145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185.73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240.62510665784632</v>
      </c>
    </row>
    <row r="29" spans="1:2" x14ac:dyDescent="0.25">
      <c r="A29" s="19" t="s">
        <v>73</v>
      </c>
      <c r="B29" s="12">
        <f>B28/B26-1</f>
        <v>0.29556402658615366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0.042068</v>
      </c>
      <c r="B5" s="31">
        <v>440.2733850967347</v>
      </c>
      <c r="C5" s="31">
        <v>509.21538586498866</v>
      </c>
      <c r="D5" s="31">
        <v>618.0426056254329</v>
      </c>
      <c r="E5" s="31">
        <v>816.3306397445622</v>
      </c>
      <c r="F5" s="31">
        <v>1293.9369040939491</v>
      </c>
    </row>
    <row r="6" spans="1:6" x14ac:dyDescent="0.25">
      <c r="A6" s="30">
        <v>0.052068</v>
      </c>
      <c r="B6" s="31">
        <v>297.285610308242</v>
      </c>
      <c r="C6" s="31">
        <v>323.85824967870604</v>
      </c>
      <c r="D6" s="31">
        <v>359.94143899840446</v>
      </c>
      <c r="E6" s="31">
        <v>411.99966300716534</v>
      </c>
      <c r="F6" s="31">
        <v>494.07238270428155</v>
      </c>
    </row>
    <row r="7" spans="1:6" x14ac:dyDescent="0.25">
      <c r="A7" s="30">
        <v>0.062068</v>
      </c>
      <c r="B7" s="31">
        <v>214.77397147608087</v>
      </c>
      <c r="C7" s="31">
        <v>226.25629184088848</v>
      </c>
      <c r="D7" s="32">
        <v>240.62180211333472</v>
      </c>
      <c r="E7" s="31">
        <v>259.21913172508283</v>
      </c>
      <c r="F7" s="31">
        <v>284.39338523094045</v>
      </c>
    </row>
    <row r="8" spans="1:6" x14ac:dyDescent="0.25">
      <c r="A8" s="30">
        <v>0.072068</v>
      </c>
      <c r="B8" s="31">
        <v>160.95970003720436</v>
      </c>
      <c r="C8" s="31">
        <v>165.86416773418205</v>
      </c>
      <c r="D8" s="31">
        <v>171.6487199116887</v>
      </c>
      <c r="E8" s="31">
        <v>178.62716438583018</v>
      </c>
      <c r="F8" s="31">
        <v>187.28262364634193</v>
      </c>
    </row>
    <row r="9" spans="1:6" x14ac:dyDescent="0.25">
      <c r="A9" s="30">
        <v>0.082068</v>
      </c>
      <c r="B9" s="31">
        <v>123.01646985118195</v>
      </c>
      <c r="C9" s="31">
        <v>124.70979012758826</v>
      </c>
      <c r="D9" s="31">
        <v>126.57175456274686</v>
      </c>
      <c r="E9" s="31">
        <v>128.65094697745508</v>
      </c>
      <c r="F9" s="31">
        <v>131.01659529075027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16315500000</v>
      </c>
      <c r="C5" s="18">
        <v>15516000000</v>
      </c>
      <c r="D5" s="18">
        <v>16656500000</v>
      </c>
      <c r="E5" s="18">
        <v>17810600000</v>
      </c>
      <c r="F5" s="8" t="s">
        <v>84</v>
      </c>
    </row>
    <row r="6" spans="1:6" x14ac:dyDescent="0.25">
      <c r="A6" t="s">
        <v>44</v>
      </c>
      <c r="B6" s="18">
        <v>1403000000</v>
      </c>
      <c r="C6" s="18">
        <v>1229200000</v>
      </c>
      <c r="D6" s="18">
        <v>1256700000</v>
      </c>
      <c r="E6" s="18">
        <v>1876400000</v>
      </c>
      <c r="F6" s="8" t="s">
        <v>85</v>
      </c>
    </row>
    <row r="7" spans="1:6" x14ac:dyDescent="0.25">
      <c r="A7" t="s">
        <v>86</v>
      </c>
      <c r="B7" s="18">
        <v>764000000</v>
      </c>
      <c r="C7" s="18">
        <v>754400000</v>
      </c>
      <c r="D7" s="18">
        <v>802200000</v>
      </c>
      <c r="E7" s="18">
        <v>743500000</v>
      </c>
      <c r="F7" s="8" t="s">
        <v>87</v>
      </c>
    </row>
    <row r="8" spans="1:6" x14ac:dyDescent="0.25">
      <c r="A8" t="s">
        <v>88</v>
      </c>
      <c r="B8" s="18">
        <v>663700000</v>
      </c>
      <c r="C8" s="18">
        <v>628300000</v>
      </c>
      <c r="D8" s="18">
        <v>668600000</v>
      </c>
      <c r="E8" s="18">
        <v>735100000</v>
      </c>
      <c r="F8" s="8" t="s">
        <v>89</v>
      </c>
    </row>
    <row r="9" spans="1:6" x14ac:dyDescent="0.25">
      <c r="A9" t="s">
        <v>90</v>
      </c>
      <c r="B9" s="18">
        <v>350700000</v>
      </c>
      <c r="C9" s="18">
        <v>-392100000</v>
      </c>
      <c r="D9" s="18">
        <v>189800000</v>
      </c>
      <c r="E9" s="18">
        <v>1331000000</v>
      </c>
      <c r="F9" s="8" t="s">
        <v>91</v>
      </c>
    </row>
    <row r="10" spans="1:6" x14ac:dyDescent="0.25">
      <c r="A10" t="s">
        <v>92</v>
      </c>
      <c r="B10" s="18">
        <v>7669500000</v>
      </c>
      <c r="C10" s="18">
        <v>7905000000</v>
      </c>
      <c r="D10" s="18">
        <v>8814600000</v>
      </c>
      <c r="E10" s="18">
        <v>7719400000</v>
      </c>
      <c r="F10" s="8" t="s">
        <v>93</v>
      </c>
    </row>
    <row r="11" spans="1:6" x14ac:dyDescent="0.25">
      <c r="A11" t="s">
        <v>94</v>
      </c>
      <c r="B11" s="18">
        <v>672900000</v>
      </c>
      <c r="C11" s="18">
        <v>575900000</v>
      </c>
      <c r="D11" s="18">
        <v>464400000</v>
      </c>
      <c r="E11" s="18">
        <v>490100000</v>
      </c>
      <c r="F11" s="8" t="s">
        <v>95</v>
      </c>
    </row>
    <row r="12" spans="1:6" x14ac:dyDescent="0.25">
      <c r="A12" t="s">
        <v>32</v>
      </c>
      <c r="B12" s="34">
        <v>54460287</v>
      </c>
      <c r="C12" s="34">
        <v>55766848</v>
      </c>
      <c r="D12" s="34">
        <v>56457450</v>
      </c>
      <c r="E12" s="34">
        <v>59336919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