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<sst xmlns="http://schemas.openxmlformats.org/spreadsheetml/2006/main" count="114" uniqueCount="102">
  <si>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Corporate Travel Management Limited (CTD.AX)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</si>
  <si>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</si>
  <si>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</si>
  <si>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</si>
  <si>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</si>
  <si>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</si>
  <si>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</si>
  <si>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</si>
  <si>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</si>
  <si>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</si>
  <si>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</si>
  <si>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</si>
  <si>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</si>
  <si>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</si>
  <si>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</si>
  <si>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</si>
  <si>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</si>
  <si>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</si>
  <si>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</si>
  <si>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</si>
  <si>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</si>
  <si>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</si>
  <si>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</si>
  <si>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</si>
  <si>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</si>
  <si>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</si>
  <si>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</si>
  <si>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</si>
  <si>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</si>
  <si>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</si>
  <si>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</si>
  <si>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</si>
  <si>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</si>
  <si>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</si>
  <si>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</si>
  <si>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</si>
  <si>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</si>
  <si>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</si>
  <si>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</si>
  <si>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</si>
  <si>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</si>
  <si>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</si>
  <si>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</si>
  <si>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</si>
  <si>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</si>
  <si>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</si>
  <si>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</si>
  <si>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</si>
  <si>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</si>
  <si>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</si>
  <si>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</si>
  <si>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</si>
  <si>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</si>
  <si>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</si>
  <si>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</si>
  <si>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</si>
  <si>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</si>
  <si>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</si>
  <si>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</si>
  <si>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</si>
  <si>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</si>
  <si>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</si>
  <si>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</si>
  <si>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</si>
  <si>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</si>
  <si>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</si>
  <si>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</si>
  <si>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</si>
  <si>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</si>
  <si>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</si>
  <si>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</si>
  <si>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</si>
  <si>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</si>
  <si>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</si>
  <si>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</si>
  <si>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</si>
  <si>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</si>
  <si>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</si>
  <si>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</si>
  <si>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</si>
  <si>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</si>
  <si>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</si>
  <si>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</si>
  <si>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</si>
  <si>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</si>
  <si>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</si>
  <si>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</si>
  <si>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</si>
  <si>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</si>
  <si>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</si>
  <si>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</si>
  <si>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</si>
  <si>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</si>
  <si>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</si>
  <si>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</si>
  <si>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</si>
  <si>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</si>
  <si>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</si>
  <si>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</si>
  <si>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3.66% of revenue against depreciation and amortisation of 9.75%. A business cannot depreciate more than it invests indefinitely. Capex has been set to 9.75%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</si>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</sst>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0.1920549782900467</v>
      </c>
    </row>
    <row r="7" spans="1:2" x14ac:dyDescent="0.25">
      <c r="A7" t="s">
        <v>5</v>
      </c>
      <c r="B7" s="6">
        <v>0.07093635643356958</v>
      </c>
    </row>
    <row r="8" spans="1:2" x14ac:dyDescent="0.25">
      <c r="A8" t="s">
        <v>6</v>
      </c>
      <c r="B8" s="6">
        <v>0.2636491497250991</v>
      </c>
    </row>
    <row r="9" spans="1:2" x14ac:dyDescent="0.25">
      <c r="A9" t="s">
        <v>7</v>
      </c>
      <c r="B9" s="6">
        <v>0.09746775492303085</v>
      </c>
    </row>
    <row r="10" spans="1:2" x14ac:dyDescent="0.25">
      <c r="A10" t="s">
        <v>8</v>
      </c>
      <c r="B10" s="6">
        <v>0.09746775492303085</v>
      </c>
    </row>
    <row r="11" spans="1:2" x14ac:dyDescent="0.25">
      <c r="A11" t="s">
        <v>9</v>
      </c>
      <c r="B11" s="6">
        <v>0.7071752905634586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4.49009879684267</v>
      </c>
    </row>
    <row r="14" spans="1:3" x14ac:dyDescent="0.25">
      <c r="A14" t="s">
        <v>12</v>
      </c>
      <c r="B14" s="6">
        <v>0.09384102919233266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0.73736</v>
      </c>
      <c r="C19" s="8" t="s">
        <v>19</v>
      </c>
    </row>
    <row r="20" spans="1:2" x14ac:dyDescent="0.25">
      <c r="A20" t="s">
        <v>20</v>
      </c>
      <c r="B20" s="10">
        <f>B17+B19*B18</f>
        <v>0.09772159999999999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389226496</v>
      </c>
    </row>
    <row r="23" spans="1:2" x14ac:dyDescent="0.25">
      <c r="A23" t="s">
        <v>24</v>
      </c>
      <c r="B23" s="11">
        <v>27734000</v>
      </c>
    </row>
    <row r="24" spans="1:2" x14ac:dyDescent="0.25">
      <c r="A24" t="s">
        <v>25</v>
      </c>
      <c r="B24" s="10">
        <f>B22/(B22+B23)</f>
        <v>0.9334853055240034</v>
      </c>
    </row>
    <row r="25" spans="1:2" x14ac:dyDescent="0.25">
      <c r="A25" t="s">
        <v>26</v>
      </c>
      <c r="B25" s="10">
        <f>1-B24</f>
        <v>0.06651469447599656</v>
      </c>
    </row>
    <row r="26" spans="1:2" x14ac:dyDescent="0.25">
      <c r="A26" t="s">
        <v>27</v>
      </c>
      <c r="B26" s="12">
        <f>B24*B20+B25*B21*(1-B8)</f>
        <v>0.09384102919233266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635768000</v>
      </c>
      <c r="C29" s="8" t="s">
        <v>30</v>
      </c>
    </row>
    <row r="30" spans="1:2" x14ac:dyDescent="0.25">
      <c r="A30" t="s">
        <v>31</v>
      </c>
      <c r="B30" s="11">
        <v>-96270000</v>
      </c>
    </row>
    <row r="31" spans="1:2" x14ac:dyDescent="0.25">
      <c r="A31" t="s">
        <v>32</v>
      </c>
      <c r="B31" s="13">
        <v>142107760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0.1920549782900467</v>
      </c>
      <c r="C5" s="10">
        <f>Assumptions!B6</f>
        <v>0.1920549782900467</v>
      </c>
      <c r="D5" s="10">
        <f>Assumptions!B6</f>
        <v>0.1920549782900467</v>
      </c>
      <c r="E5" s="10">
        <f>Assumptions!B6</f>
        <v>0.1920549782900467</v>
      </c>
      <c r="F5" s="10">
        <f>Assumptions!B6</f>
        <v>0.1920549782900467</v>
      </c>
    </row>
    <row r="6" spans="1:6" x14ac:dyDescent="0.25">
      <c r="A6" t="s">
        <v>43</v>
      </c>
      <c r="B6" s="18">
        <f>Assumptions!B29*(1+B5)</f>
        <v>757870409.4375064</v>
      </c>
      <c r="C6" s="18">
        <f>B6*(1+C5)</f>
        <v>903423194.4686955</v>
      </c>
      <c r="D6" s="18">
        <f>C6*(1+D5)</f>
        <v>1076930116.4691055</v>
      </c>
      <c r="E6" s="18">
        <f>D6*(1+E5)</f>
        <v>1283759906.607477</v>
      </c>
      <c r="F6" s="18">
        <f>E6*(1+F5)</f>
        <v>1530312387.6006083</v>
      </c>
    </row>
    <row r="7" spans="1:6" x14ac:dyDescent="0.25">
      <c r="A7" t="s">
        <v>5</v>
      </c>
      <c r="B7" s="10">
        <f>Assumptions!B7</f>
        <v>0.07093635643356958</v>
      </c>
      <c r="C7" s="10">
        <f>Assumptions!B7</f>
        <v>0.07093635643356958</v>
      </c>
      <c r="D7" s="10">
        <f>Assumptions!B7</f>
        <v>0.07093635643356958</v>
      </c>
      <c r="E7" s="10">
        <f>Assumptions!B7</f>
        <v>0.07093635643356958</v>
      </c>
      <c r="F7" s="10">
        <f>Assumptions!B7</f>
        <v>0.07093635643356958</v>
      </c>
    </row>
    <row r="8" spans="1:6" x14ac:dyDescent="0.25">
      <c r="A8" t="s">
        <v>44</v>
      </c>
      <c r="B8" s="18">
        <f>B6*B7</f>
        <v>53760565.49431427</v>
      </c>
      <c r="C8" s="18">
        <f>C6*C7</f>
        <v>64085549.733185425</v>
      </c>
      <c r="D8" s="18">
        <f>D6*D7</f>
        <v>76393498.59589806</v>
      </c>
      <c r="E8" s="18">
        <f>E6*E7</f>
        <v>91065250.31023398</v>
      </c>
      <c r="F8" s="18">
        <f>F6*F7</f>
        <v>108554784.98154363</v>
      </c>
    </row>
    <row r="9" spans="1:6" x14ac:dyDescent="0.25">
      <c r="A9" t="s">
        <v>45</v>
      </c>
      <c r="B9" s="18">
        <f>B8*(1-Assumptions!B8)</f>
        <v>39586638.11299781</v>
      </c>
      <c r="C9" s="18">
        <f>C8*(1-Assumptions!B8)</f>
        <v>47189449.03636554</v>
      </c>
      <c r="D9" s="18">
        <f>D8*(1-Assumptions!B8)</f>
        <v>56252417.646563984</v>
      </c>
      <c r="E9" s="18">
        <f>E8*(1-Assumptions!B8)</f>
        <v>67055974.496437475</v>
      </c>
      <c r="F9" s="18">
        <f>F8*(1-Assumptions!B8)</f>
        <v>79934408.22256869</v>
      </c>
    </row>
    <row r="10" spans="1:6" x14ac:dyDescent="0.25">
      <c r="A10" t="s">
        <v>46</v>
      </c>
      <c r="B10" s="18">
        <f>B6*Assumptions!B9</f>
        <v>73867927.33047192</v>
      </c>
      <c r="C10" s="18">
        <f>C6*Assumptions!B9</f>
        <v>88054630.51025645</v>
      </c>
      <c r="D10" s="18">
        <f>D6*Assumptions!B9</f>
        <v>104965960.66124184</v>
      </c>
      <c r="E10" s="18">
        <f>E6*Assumptions!B9</f>
        <v>125125195.95723054</v>
      </c>
      <c r="F10" s="18">
        <f>F6*Assumptions!B9</f>
        <v>149156112.7503343</v>
      </c>
    </row>
    <row r="11" spans="1:6" x14ac:dyDescent="0.25">
      <c r="A11" t="s">
        <v>47</v>
      </c>
      <c r="B11" s="18">
        <f>-B6*Assumptions!B10</f>
        <v>-73867927.33047192</v>
      </c>
      <c r="C11" s="18">
        <f>-C6*Assumptions!B10</f>
        <v>-88054630.51025645</v>
      </c>
      <c r="D11" s="18">
        <f>-D6*Assumptions!B10</f>
        <v>-104965960.66124184</v>
      </c>
      <c r="E11" s="18">
        <f>-E6*Assumptions!B10</f>
        <v>-125125195.95723054</v>
      </c>
      <c r="F11" s="18">
        <f>-F6*Assumptions!B10</f>
        <v>-149156112.7503343</v>
      </c>
    </row>
    <row r="12" spans="1:6" x14ac:dyDescent="0.25">
      <c r="A12" t="s">
        <v>48</v>
      </c>
      <c r="B12" s="18">
        <f>-(B6-Assumptions!B29)*Assumptions!B11</f>
        <v>-86347806.87246701</v>
      </c>
      <c r="C12" s="18">
        <f>-(C6-B6)*Assumptions!B11</f>
        <v>-102931333.04675177</v>
      </c>
      <c r="D12" s="18">
        <f>-(D6-C6)*Assumptions!B11</f>
        <v>-122699807.98041126</v>
      </c>
      <c r="E12" s="18">
        <f>-(E6-D6)*Assumptions!B11</f>
        <v>-146264916.938282</v>
      </c>
      <c r="F12" s="18">
        <f>-(F6-E6)*Assumptions!B11</f>
        <v>-174355822.3854593</v>
      </c>
    </row>
    <row r="13" spans="1:6" x14ac:dyDescent="0.25">
      <c r="A13" s="19" t="s">
        <v>49</v>
      </c>
      <c r="B13" s="20">
        <f>B9+B10+B11+B12</f>
        <v>-46761168.759469196</v>
      </c>
      <c r="C13" s="20">
        <f>C9+C10+C11+C12</f>
        <v>-55741884.01038624</v>
      </c>
      <c r="D13" s="20">
        <f>D9+D10+D11+D12</f>
        <v>-66447390.33384727</v>
      </c>
      <c r="E13" s="20">
        <f>E9+E10+E11+E12</f>
        <v>-79208942.44184455</v>
      </c>
      <c r="F13" s="20">
        <f>F9+F10+F11+F12</f>
        <v>-94421414.16289061</v>
      </c>
    </row>
    <row r="14" spans="1:6" x14ac:dyDescent="0.25">
      <c r="A14" t="s">
        <v>50</v>
      </c>
      <c r="B14" s="21">
        <f>1/(1+Assumptions!$B$26)^(1-0.5*Assumptions!$B$32)</f>
        <v>0.9561430999825905</v>
      </c>
      <c r="C14" s="21">
        <f>1/(1+Assumptions!$B$26)^(2-0.5*Assumptions!$B$32)</f>
        <v>0.874115227409768</v>
      </c>
      <c r="D14" s="21">
        <f>1/(1+Assumptions!$B$26)^(3-0.5*Assumptions!$B$32)</f>
        <v>0.7991245565685123</v>
      </c>
      <c r="E14" s="21">
        <f>1/(1+Assumptions!$B$26)^(4-0.5*Assumptions!$B$32)</f>
        <v>0.7305673633019305</v>
      </c>
      <c r="F14" s="21">
        <f>1/(1+Assumptions!$B$26)^(5-0.5*Assumptions!$B$32)</f>
        <v>0.667891717173349</v>
      </c>
    </row>
    <row r="15" spans="1:6" x14ac:dyDescent="0.25">
      <c r="A15" s="19" t="s">
        <v>51</v>
      </c>
      <c r="B15" s="20">
        <f>B13*B14</f>
        <v>-44710368.856487945</v>
      </c>
      <c r="C15" s="20">
        <f>C13*C14</f>
        <v>-48724829.617987685</v>
      </c>
      <c r="D15" s="20">
        <f>D13*D14</f>
        <v>-53099741.33567055</v>
      </c>
      <c r="E15" s="20">
        <f>E13*E14</f>
        <v>-57867468.22967275</v>
      </c>
      <c r="F15" s="20">
        <f>F13*F14</f>
        <v>-63063280.443188995</v>
      </c>
    </row>
    <row r="17" spans="1:2" x14ac:dyDescent="0.25">
      <c r="A17" s="22" t="s">
        <v>52</v>
      </c>
      <c r="B17" s="23">
        <f>SUM(B15:F15)</f>
        <v>-267465688.48300794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-94421414.16289061</v>
      </c>
    </row>
    <row r="5" spans="1:2" x14ac:dyDescent="0.25">
      <c r="A5" t="s">
        <v>56</v>
      </c>
      <c r="B5" s="18">
        <f>IF(Assumptions!$B$33=0,B4,B4-Forecast!F11-Forecast!F10-Forecast!F12)</f>
        <v>79934408.22256869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0.2664079903552746</v>
      </c>
    </row>
    <row r="7" spans="1:2" x14ac:dyDescent="0.25">
      <c r="A7" t="s">
        <v>58</v>
      </c>
      <c r="B7" s="18">
        <f>-MAX(Forecast!F9,0)*B6</f>
        <v>-21295165.054812666</v>
      </c>
    </row>
    <row r="8" spans="1:2" x14ac:dyDescent="0.25">
      <c r="A8" t="s">
        <v>59</v>
      </c>
      <c r="B8" s="18">
        <f>IF(OR(Assumptions!$B$33=0,Assumptions!B12&lt;=0),B5,MAX(B5+B7,0))</f>
        <v>58639243.16775602</v>
      </c>
    </row>
    <row r="9" spans="1:2" x14ac:dyDescent="0.25">
      <c r="A9" t="s">
        <v>60</v>
      </c>
      <c r="B9" s="18">
        <f>B8*(1+Assumptions!B12)/(Assumptions!B26-Assumptions!B12)</f>
        <v>873101767.2473191</v>
      </c>
    </row>
    <row r="10" spans="1:2" x14ac:dyDescent="0.25">
      <c r="A10" t="s">
        <v>61</v>
      </c>
      <c r="B10" s="18">
        <f>B9/(1+Assumptions!B26)^(5-0.5*Assumptions!B32)</f>
        <v>583137438.5938977</v>
      </c>
    </row>
    <row r="11" spans="1:2" x14ac:dyDescent="0.25">
      <c r="A11" t="s">
        <v>62</v>
      </c>
      <c r="B11" s="18">
        <f>Forecast!B17+B10</f>
        <v>315671750.1108898</v>
      </c>
    </row>
    <row r="12" spans="1:2" x14ac:dyDescent="0.25">
      <c r="A12" t="s">
        <v>63</v>
      </c>
      <c r="B12" s="18">
        <f>-Assumptions!B30</f>
        <v>96270000</v>
      </c>
    </row>
    <row r="13" spans="1:2" x14ac:dyDescent="0.25">
      <c r="A13" t="s">
        <v>64</v>
      </c>
      <c r="B13" s="18">
        <f>B11+B12</f>
        <v>411941750.1108898</v>
      </c>
    </row>
    <row r="14" spans="1:2" x14ac:dyDescent="0.25">
      <c r="A14" s="19" t="s">
        <v>65</v>
      </c>
      <c r="B14" s="24">
        <f>B13/Assumptions!B31</f>
        <v>2.898798419670325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257710897.73187792</v>
      </c>
    </row>
    <row r="18" spans="1:2" x14ac:dyDescent="0.25">
      <c r="A18" t="s">
        <v>60</v>
      </c>
      <c r="B18" s="18">
        <f>B17*Assumptions!B13</f>
        <v>1157147391.8391495</v>
      </c>
    </row>
    <row r="19" spans="1:2" x14ac:dyDescent="0.25">
      <c r="A19" t="s">
        <v>61</v>
      </c>
      <c r="B19" s="18">
        <f>B18/(1+Assumptions!B26)^(5-0.5*Assumptions!B32)</f>
        <v>772849158.5581118</v>
      </c>
    </row>
    <row r="20" spans="1:2" x14ac:dyDescent="0.25">
      <c r="A20" t="s">
        <v>62</v>
      </c>
      <c r="B20" s="18">
        <f>Forecast!B17+B19</f>
        <v>505383470.0751039</v>
      </c>
    </row>
    <row r="21" spans="1:2" x14ac:dyDescent="0.25">
      <c r="A21" t="s">
        <v>63</v>
      </c>
      <c r="B21" s="18">
        <f>-Assumptions!B30</f>
        <v>96270000</v>
      </c>
    </row>
    <row r="22" spans="1:2" x14ac:dyDescent="0.25">
      <c r="A22" t="s">
        <v>64</v>
      </c>
      <c r="B22" s="18">
        <f>B20+B21</f>
        <v>601653470.0751039</v>
      </c>
    </row>
    <row r="23" spans="1:2" x14ac:dyDescent="0.25">
      <c r="A23" s="19" t="s">
        <v>65</v>
      </c>
      <c r="B23" s="25">
        <f>B22/Assumptions!B31</f>
        <v>4.233783363238601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2.66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2.898798419670325</v>
      </c>
    </row>
    <row r="29" spans="1:2" x14ac:dyDescent="0.25">
      <c r="A29" s="19" t="s">
        <v>73</v>
      </c>
      <c r="B29" s="12">
        <f>B28/B26-1</f>
        <v>0.08977384198132521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0.073841</v>
      </c>
      <c r="B5" s="31">
        <v>4.310720683983968</v>
      </c>
      <c r="C5" s="31">
        <v>4.338361985465541</v>
      </c>
      <c r="D5" s="31">
        <v>4.366003286947113</v>
      </c>
      <c r="E5" s="31">
        <v>4.393644588428686</v>
      </c>
      <c r="F5" s="31">
        <v>4.421285889910257</v>
      </c>
    </row>
    <row r="6" spans="1:6" x14ac:dyDescent="0.25">
      <c r="A6" s="30">
        <v>0.083841</v>
      </c>
      <c r="B6" s="31">
        <v>3.4884241720405194</v>
      </c>
      <c r="C6" s="31">
        <v>3.5117740402912743</v>
      </c>
      <c r="D6" s="31">
        <v>3.5351239085420274</v>
      </c>
      <c r="E6" s="31">
        <v>3.5584737767927828</v>
      </c>
      <c r="F6" s="31">
        <v>3.581823645043537</v>
      </c>
    </row>
    <row r="7" spans="1:6" x14ac:dyDescent="0.25">
      <c r="A7" s="30">
        <v>0.093841</v>
      </c>
      <c r="B7" s="31">
        <v>2.858766011673029</v>
      </c>
      <c r="C7" s="31">
        <v>2.8787830332467186</v>
      </c>
      <c r="D7" s="32">
        <v>2.8988000548204083</v>
      </c>
      <c r="E7" s="31">
        <v>2.918817076394097</v>
      </c>
      <c r="F7" s="31">
        <v>2.938834097967785</v>
      </c>
    </row>
    <row r="8" spans="1:6" x14ac:dyDescent="0.25">
      <c r="A8" s="30">
        <v>0.103841</v>
      </c>
      <c r="B8" s="31">
        <v>2.3651599371040457</v>
      </c>
      <c r="C8" s="31">
        <v>2.382523456963739</v>
      </c>
      <c r="D8" s="31">
        <v>2.399886976823431</v>
      </c>
      <c r="E8" s="31">
        <v>2.4172504966831236</v>
      </c>
      <c r="F8" s="31">
        <v>2.4346140165428167</v>
      </c>
    </row>
    <row r="9" spans="1:6" x14ac:dyDescent="0.25">
      <c r="A9" s="30">
        <v>0.113841</v>
      </c>
      <c r="B9" s="31">
        <v>1.9709594955340426</v>
      </c>
      <c r="C9" s="31">
        <v>1.986167872628411</v>
      </c>
      <c r="D9" s="31">
        <v>2.0013762497227776</v>
      </c>
      <c r="E9" s="31">
        <v>2.0165846268171457</v>
      </c>
      <c r="F9" s="31">
        <v>2.031793003911513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635768000</v>
      </c>
      <c r="C5" s="18">
        <v>707675000</v>
      </c>
      <c r="D5" s="18">
        <v>650396000</v>
      </c>
      <c r="E5" s="18">
        <v>375327000</v>
      </c>
      <c r="F5" s="8" t="s">
        <v>84</v>
      </c>
    </row>
    <row r="6" spans="1:6" x14ac:dyDescent="0.25">
      <c r="A6" t="s">
        <v>44</v>
      </c>
      <c r="B6" s="18">
        <v>587000</v>
      </c>
      <c r="C6" s="18">
        <v>112236000</v>
      </c>
      <c r="D6" s="18">
        <v>97290000</v>
      </c>
      <c r="E6" s="18">
        <v>-9519000</v>
      </c>
      <c r="F6" s="8" t="s">
        <v>85</v>
      </c>
    </row>
    <row r="7" spans="1:6" x14ac:dyDescent="0.25">
      <c r="A7" t="s">
        <v>86</v>
      </c>
      <c r="B7" s="18">
        <v>64658000</v>
      </c>
      <c r="C7" s="18">
        <v>60079000</v>
      </c>
      <c r="D7" s="18">
        <v>55229000</v>
      </c>
      <c r="E7" s="18">
        <v>44423000</v>
      </c>
      <c r="F7" s="8" t="s">
        <v>87</v>
      </c>
    </row>
    <row r="8" spans="1:6" x14ac:dyDescent="0.25">
      <c r="A8" t="s">
        <v>88</v>
      </c>
      <c r="B8" s="18">
        <v>38895000</v>
      </c>
      <c r="C8" s="18">
        <v>47563000</v>
      </c>
      <c r="D8" s="18">
        <v>4272000</v>
      </c>
      <c r="E8" s="18">
        <v>4278000</v>
      </c>
      <c r="F8" s="8" t="s">
        <v>89</v>
      </c>
    </row>
    <row r="9" spans="1:6" x14ac:dyDescent="0.25">
      <c r="A9" t="s">
        <v>90</v>
      </c>
      <c r="B9" s="18">
        <v>-241570000</v>
      </c>
      <c r="C9" s="18">
        <v>-106570000</v>
      </c>
      <c r="D9" s="18">
        <v>194522000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27734000</v>
      </c>
      <c r="C10" s="18">
        <v>38782000</v>
      </c>
      <c r="D10" s="18">
        <v>38409000</v>
      </c>
      <c r="E10" s="18">
        <v>48352000</v>
      </c>
      <c r="F10" s="8" t="s">
        <v>93</v>
      </c>
    </row>
    <row r="11" spans="1:6" x14ac:dyDescent="0.25">
      <c r="A11" t="s">
        <v>94</v>
      </c>
      <c r="B11" s="18">
        <v>124004000</v>
      </c>
      <c r="C11" s="18">
        <v>134771000</v>
      </c>
      <c r="D11" s="18">
        <v>150985000</v>
      </c>
      <c r="E11" s="18">
        <v>142054000</v>
      </c>
      <c r="F11" s="8" t="s">
        <v>95</v>
      </c>
    </row>
    <row r="12" spans="1:6" x14ac:dyDescent="0.25">
      <c r="A12" t="s">
        <v>32</v>
      </c>
      <c r="B12" s="34">
        <v>142107760</v>
      </c>
      <c r="C12" s="34">
        <v>145943043</v>
      </c>
      <c r="D12" s="34">
        <v>146642722</v>
      </c>
      <c r="E12" s="34">
        <v>140059733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2026-09-19T01:03:58Z</dcterms:modified>
</cp:coreProperties>
</file>