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<sst xmlns="http://schemas.openxmlformats.org/spreadsheetml/2006/main" count="119" uniqueCount="106">
  <si>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Cognizant Technology Solutions Corporation (CTSH)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</si>
  <si>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</si>
  <si>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</si>
  <si>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</si>
  <si>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</si>
  <si>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</si>
  <si>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</si>
  <si>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</si>
  <si>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</si>
  <si>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</si>
  <si>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</si>
  <si>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</si>
  <si>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</si>
  <si>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</si>
  <si>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</si>
  <si>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</si>
  <si>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</si>
  <si>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</si>
  <si>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</si>
  <si>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</si>
  <si>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</si>
  <si>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</si>
  <si>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</si>
  <si>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</si>
  <si>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89.9x interest cover. Book interest / average debt was lower, at 2.8%.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</si>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</sst>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0.04690055144968741</v>
      </c>
    </row>
    <row r="7" spans="1:2" x14ac:dyDescent="0.25">
      <c r="A7" t="s">
        <v>4</v>
      </c>
      <c r="B7" s="5">
        <v>0.15362217405239156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0.027871081759339274</v>
      </c>
    </row>
    <row r="10" spans="1:3" x14ac:dyDescent="0.25">
      <c r="A10" t="s">
        <v>7</v>
      </c>
      <c r="B10" s="5">
        <v>0.015540346344316378</v>
      </c>
      <c r="C10" s="6" t="s">
        <v>8</v>
      </c>
    </row>
    <row r="11" spans="1:2" x14ac:dyDescent="0.25">
      <c r="A11" t="s">
        <v>9</v>
      </c>
      <c r="B11" s="5">
        <v>0.18495397318285028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7.31084638225432</v>
      </c>
    </row>
    <row r="14" spans="1:3" x14ac:dyDescent="0.25">
      <c r="A14" t="s">
        <v>12</v>
      </c>
      <c r="B14" s="5">
        <v>0.16741488483700379</v>
      </c>
      <c r="C14" s="6" t="s">
        <v>13</v>
      </c>
    </row>
    <row r="15" spans="1:3" x14ac:dyDescent="0.25">
      <c r="A15" t="s">
        <v>14</v>
      </c>
      <c r="B15" s="5">
        <v>0.027871081759339274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29106151424</v>
      </c>
    </row>
    <row r="23" spans="1:2" x14ac:dyDescent="0.25">
      <c r="A23" t="s">
        <v>26</v>
      </c>
      <c r="B23" s="10">
        <v>1152000000</v>
      </c>
    </row>
    <row r="24" spans="1:2" x14ac:dyDescent="0.25">
      <c r="A24" t="s">
        <v>27</v>
      </c>
      <c r="B24" s="9">
        <f>B22/(B22+B23)</f>
        <v>0.9619276146828235</v>
      </c>
    </row>
    <row r="25" spans="1:2" x14ac:dyDescent="0.25">
      <c r="A25" t="s">
        <v>28</v>
      </c>
      <c r="B25" s="9">
        <f>1-B24</f>
        <v>0.038072385317176494</v>
      </c>
    </row>
    <row r="26" spans="1:2" x14ac:dyDescent="0.25">
      <c r="A26" t="s">
        <v>29</v>
      </c>
      <c r="B26" s="11">
        <f>B24*B20+B25*B21*(1-B8)</f>
        <v>0.08935856170582697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21108000000</v>
      </c>
      <c r="C29" s="6" t="s">
        <v>32</v>
      </c>
    </row>
    <row r="30" spans="1:2" x14ac:dyDescent="0.25">
      <c r="A30" t="s">
        <v>33</v>
      </c>
      <c r="B30" s="10">
        <v>-762000000</v>
      </c>
    </row>
    <row r="31" spans="1:2" x14ac:dyDescent="0.25">
      <c r="A31" t="s">
        <v>34</v>
      </c>
      <c r="B31" s="12">
        <v>489000000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0.04690055144968741</v>
      </c>
      <c r="C5" s="5">
        <v>0.04410917375185375</v>
      </c>
      <c r="D5" s="5">
        <v>0.04172052703287203</v>
      </c>
      <c r="E5" s="5">
        <v>0.03933188031389031</v>
      </c>
      <c r="F5" s="5">
        <v>0.036943233594908594</v>
      </c>
      <c r="G5" s="5">
        <v>0.03455458687592687</v>
      </c>
      <c r="H5" s="5">
        <v>0.032165940156945155</v>
      </c>
      <c r="I5" s="5">
        <v>0.02977729343796344</v>
      </c>
      <c r="J5" s="5">
        <v>0.02738864671898172</v>
      </c>
      <c r="K5" s="5">
        <v>0.025</v>
      </c>
    </row>
    <row r="6" spans="1:11" x14ac:dyDescent="0.25">
      <c r="A6" t="s">
        <v>50</v>
      </c>
      <c r="B6" s="18">
        <f>Assumptions!B29*(1+B5)</f>
        <v>22097976840</v>
      </c>
      <c r="C6" s="18">
        <f>B6*(1+C5)</f>
        <v>23072700340</v>
      </c>
      <c r="D6" s="18">
        <f>C6*(1+D5)</f>
        <v>24035305558.256325</v>
      </c>
      <c r="E6" s="18">
        <f>D6*(1+E5)</f>
        <v>24980659319.781445</v>
      </c>
      <c r="F6" s="18">
        <f>E6*(1+F5)</f>
        <v>25903525652.386963</v>
      </c>
      <c r="G6" s="18">
        <f>F6*(1+G5)</f>
        <v>26798611279.93517</v>
      </c>
      <c r="H6" s="18">
        <f>G6*(1+H5)</f>
        <v>27660613806.6548</v>
      </c>
      <c r="I6" s="18">
        <f>H6*(1+I5)</f>
        <v>28484272020.649742</v>
      </c>
      <c r="J6" s="18">
        <f>I6*(1+J5)</f>
        <v>29264417684.07069</v>
      </c>
      <c r="K6" s="18">
        <f>J6*(1+K5)</f>
        <v>29996028126.172455</v>
      </c>
    </row>
    <row r="7" spans="1:11" x14ac:dyDescent="0.25">
      <c r="A7" t="s">
        <v>4</v>
      </c>
      <c r="B7" s="9">
        <f>Assumptions!B7</f>
        <v>0.15362217405239156</v>
      </c>
      <c r="C7" s="9">
        <f>Assumptions!B7</f>
        <v>0.15362217405239156</v>
      </c>
      <c r="D7" s="9">
        <f>Assumptions!B7</f>
        <v>0.15362217405239156</v>
      </c>
      <c r="E7" s="9">
        <f>Assumptions!B7</f>
        <v>0.15362217405239156</v>
      </c>
      <c r="F7" s="9">
        <f>Assumptions!B7</f>
        <v>0.15362217405239156</v>
      </c>
      <c r="G7" s="9">
        <f>Assumptions!B7</f>
        <v>0.15362217405239156</v>
      </c>
      <c r="H7" s="9">
        <f>Assumptions!B7</f>
        <v>0.15362217405239156</v>
      </c>
      <c r="I7" s="9">
        <f>Assumptions!B7</f>
        <v>0.15362217405239156</v>
      </c>
      <c r="J7" s="9">
        <f>Assumptions!B7</f>
        <v>0.15362217405239156</v>
      </c>
      <c r="K7" s="9">
        <f>Assumptions!B7</f>
        <v>0.15362217405239156</v>
      </c>
    </row>
    <row r="8" spans="1:11" x14ac:dyDescent="0.25">
      <c r="A8" t="s">
        <v>51</v>
      </c>
      <c r="B8" s="18">
        <f>B6*B7</f>
        <v>3394739244.3201976</v>
      </c>
      <c r="C8" s="18">
        <f>C6*C7</f>
        <v>3544478387.490154</v>
      </c>
      <c r="D8" s="18">
        <f>D6*D7</f>
        <v>3692355893.8728676</v>
      </c>
      <c r="E8" s="18">
        <f>E6*E7</f>
        <v>3837583193.9669623</v>
      </c>
      <c r="F8" s="18">
        <f>F6*F7</f>
        <v>3979355926.34158</v>
      </c>
      <c r="G8" s="18">
        <f>G6*G7</f>
        <v>4116860926.4085846</v>
      </c>
      <c r="H8" s="18">
        <f>H6*H7</f>
        <v>4249283628.6019087</v>
      </c>
      <c r="I8" s="18">
        <f>I6*I7</f>
        <v>4375815794.111922</v>
      </c>
      <c r="J8" s="18">
        <f>J6*J7</f>
        <v>4495663467.004193</v>
      </c>
      <c r="K8" s="18">
        <f>K6*K7</f>
        <v>4608055053.679297</v>
      </c>
    </row>
    <row r="9" spans="1:11" x14ac:dyDescent="0.25">
      <c r="A9" t="s">
        <v>52</v>
      </c>
      <c r="B9" s="18">
        <f>B8*(1-Assumptions!B8)</f>
        <v>2681844003.012956</v>
      </c>
      <c r="C9" s="18">
        <f>C8*(1-Assumptions!B8)</f>
        <v>2800137926.117222</v>
      </c>
      <c r="D9" s="18">
        <f>D8*(1-Assumptions!B8)</f>
        <v>2916961156.1595654</v>
      </c>
      <c r="E9" s="18">
        <f>E8*(1-Assumptions!B8)</f>
        <v>3031690723.2339005</v>
      </c>
      <c r="F9" s="18">
        <f>F8*(1-Assumptions!B8)</f>
        <v>3143691181.8098483</v>
      </c>
      <c r="G9" s="18">
        <f>G8*(1-Assumptions!B8)</f>
        <v>3252320131.862782</v>
      </c>
      <c r="H9" s="18">
        <f>H8*(1-Assumptions!B8)</f>
        <v>3356934066.595508</v>
      </c>
      <c r="I9" s="18">
        <f>I8*(1-Assumptions!B8)</f>
        <v>3456894477.3484187</v>
      </c>
      <c r="J9" s="18">
        <f>J8*(1-Assumptions!B8)</f>
        <v>3551574138.933313</v>
      </c>
      <c r="K9" s="18">
        <f>K8*(1-Assumptions!B8)</f>
        <v>3640363492.4066453</v>
      </c>
    </row>
    <row r="10" spans="1:11" x14ac:dyDescent="0.25">
      <c r="A10" t="s">
        <v>53</v>
      </c>
      <c r="B10" s="18">
        <f>B6*Assumptions!B9</f>
        <v>615894519.2236258</v>
      </c>
      <c r="C10" s="18">
        <f>C6*Assumptions!B9</f>
        <v>643061117.5848751</v>
      </c>
      <c r="D10" s="18">
        <f>D6*Assumptions!B9</f>
        <v>669889966.3248637</v>
      </c>
      <c r="E10" s="18">
        <f>E6*Assumptions!B9</f>
        <v>696237998.3038293</v>
      </c>
      <c r="F10" s="18">
        <f>F6*Assumptions!B9</f>
        <v>721959281.3128192</v>
      </c>
      <c r="G10" s="18">
        <f>G6*Assumptions!B9</f>
        <v>746906286.0198249</v>
      </c>
      <c r="H10" s="18">
        <f>H6*Assumptions!B9</f>
        <v>770931228.9187847</v>
      </c>
      <c r="I10" s="18">
        <f>I6*Assumptions!B9</f>
        <v>793887474.342789</v>
      </c>
      <c r="J10" s="18">
        <f>J6*Assumptions!B9</f>
        <v>815630977.9121883</v>
      </c>
      <c r="K10" s="18">
        <f>K6*Assumptions!B9</f>
        <v>836021752.359993</v>
      </c>
    </row>
    <row r="11" spans="1:11" x14ac:dyDescent="0.25">
      <c r="A11" t="s">
        <v>54</v>
      </c>
      <c r="B11" s="18">
        <f>-B6*B19</f>
        <v>-343410213.602282</v>
      </c>
      <c r="C11" s="18">
        <f>-C6*C19</f>
        <v>-436629629.568083</v>
      </c>
      <c r="D11" s="18">
        <f>-D6*D19</f>
        <v>-536175122.7968864</v>
      </c>
      <c r="E11" s="18">
        <f>-E6*E19</f>
        <v>-641791798.9616392</v>
      </c>
      <c r="F11" s="18">
        <f>-F6*F19</f>
        <v>-753152297.6876419</v>
      </c>
      <c r="G11" s="18">
        <f>-G6*G19</f>
        <v>-869856530.0268928</v>
      </c>
      <c r="H11" s="18">
        <f>-H6*H19</f>
        <v>-991432436.00988</v>
      </c>
      <c r="I11" s="18">
        <f>-I6*I19</f>
        <v>-1117337803.583235</v>
      </c>
      <c r="J11" s="18">
        <f>-J6*J19</f>
        <v>-1246963172.1765025</v>
      </c>
      <c r="K11" s="18">
        <f>-K6*K19</f>
        <v>-1379635824.6617074</v>
      </c>
    </row>
    <row r="12" spans="1:11" x14ac:dyDescent="0.25">
      <c r="A12" t="s">
        <v>55</v>
      </c>
      <c r="B12" s="18">
        <f>-(B6-Assumptions!B29)*Assumptions!B11</f>
        <v>-183100149.91700286</v>
      </c>
      <c r="C12" s="18">
        <f>-(C6-B6)*Assumptions!B11</f>
        <v>-180278984.07969397</v>
      </c>
      <c r="D12" s="18">
        <f>-(D6-C6)*Assumptions!B11</f>
        <v>-178037659.72305202</v>
      </c>
      <c r="E12" s="18">
        <f>-(E6-D6)*Assumptions!B11</f>
        <v>-174846934.25742364</v>
      </c>
      <c r="F12" s="18">
        <f>-(F6-E6)*Assumptions!B11</f>
        <v>-170687794.93207642</v>
      </c>
      <c r="G12" s="18">
        <f>-(G6-F6)*Assumptions!B11</f>
        <v>-165549643.15390566</v>
      </c>
      <c r="H12" s="18">
        <f>-(H6-G6)*Assumptions!B11</f>
        <v>-159430792.21045184</v>
      </c>
      <c r="I12" s="18">
        <f>-(I6-H6)*Assumptions!B11</f>
        <v>-152338859.2230548</v>
      </c>
      <c r="J12" s="18">
        <f>-(J6-I6)*Assumptions!B11</f>
        <v>-144291040.11107495</v>
      </c>
      <c r="K12" s="18">
        <f>-(K6-J6)*Assumptions!B11</f>
        <v>-135314258.08878303</v>
      </c>
    </row>
    <row r="13" spans="1:11" x14ac:dyDescent="0.25">
      <c r="A13" s="19" t="s">
        <v>56</v>
      </c>
      <c r="B13" s="20">
        <f>B9+B10+B11+B12</f>
        <v>2771228158.717297</v>
      </c>
      <c r="C13" s="20">
        <f>C9+C10+C11+C12</f>
        <v>2826290430.0543203</v>
      </c>
      <c r="D13" s="20">
        <f>D9+D10+D11+D12</f>
        <v>2872638339.964491</v>
      </c>
      <c r="E13" s="20">
        <f>E9+E10+E11+E12</f>
        <v>2911289988.3186674</v>
      </c>
      <c r="F13" s="20">
        <f>F9+F10+F11+F12</f>
        <v>2941810370.5029488</v>
      </c>
      <c r="G13" s="20">
        <f>G9+G10+G11+G12</f>
        <v>2963820244.7018085</v>
      </c>
      <c r="H13" s="20">
        <f>H9+H10+H11+H12</f>
        <v>2977002067.2939606</v>
      </c>
      <c r="I13" s="20">
        <f>I9+I10+I11+I12</f>
        <v>2981105288.884918</v>
      </c>
      <c r="J13" s="20">
        <f>J9+J10+J11+J12</f>
        <v>2975950904.557924</v>
      </c>
      <c r="K13" s="20">
        <f>K9+K10+K11+K12</f>
        <v>2961435162.0161476</v>
      </c>
    </row>
    <row r="14" spans="1:11" x14ac:dyDescent="0.25">
      <c r="A14" t="s">
        <v>57</v>
      </c>
      <c r="B14" s="21">
        <f>1/(1+Assumptions!$B$26)^(1-0.5*Assumptions!$B$32)</f>
        <v>0.9581082383198147</v>
      </c>
      <c r="C14" s="21">
        <f>1/(1+Assumptions!$B$26)^(2-0.5*Assumptions!$B$32)</f>
        <v>0.8795159573717514</v>
      </c>
      <c r="D14" s="21">
        <f>1/(1+Assumptions!$B$26)^(3-0.5*Assumptions!$B$32)</f>
        <v>0.8073704914886032</v>
      </c>
      <c r="E14" s="21">
        <f>1/(1+Assumptions!$B$26)^(4-0.5*Assumptions!$B$32)</f>
        <v>0.7411430174325169</v>
      </c>
      <c r="F14" s="21">
        <f>1/(1+Assumptions!$B$26)^(5-0.5*Assumptions!$B$32)</f>
        <v>0.6803480905974253</v>
      </c>
      <c r="G14" s="21">
        <f>1/(1+Assumptions!$B$26)^(6-0.5*Assumptions!$B$32)</f>
        <v>0.624540086720453</v>
      </c>
      <c r="H14" s="21">
        <f>1/(1+Assumptions!$B$26)^(7-0.5*Assumptions!$B$32)</f>
        <v>0.5733099354747674</v>
      </c>
      <c r="I14" s="21">
        <f>1/(1+Assumptions!$B$26)^(8-0.5*Assumptions!$B$32)</f>
        <v>0.5262821220012455</v>
      </c>
      <c r="J14" s="21">
        <f>1/(1+Assumptions!$B$26)^(9-0.5*Assumptions!$B$32)</f>
        <v>0.48311193440031364</v>
      </c>
      <c r="K14" s="21">
        <f>1/(1+Assumptions!$B$26)^(10-0.5*Assumptions!$B$32)</f>
        <v>0.4434829370081862</v>
      </c>
    </row>
    <row r="15" spans="1:11" x14ac:dyDescent="0.25">
      <c r="A15" s="19" t="s">
        <v>58</v>
      </c>
      <c r="B15" s="20">
        <f>B13*B14</f>
        <v>2655136529.130893</v>
      </c>
      <c r="C15" s="20">
        <f>C13*C14</f>
        <v>2485767533.3998446</v>
      </c>
      <c r="D15" s="20">
        <f>D13*D14</f>
        <v>2319283428.406136</v>
      </c>
      <c r="E15" s="20">
        <f>E13*E14</f>
        <v>2157682246.563574</v>
      </c>
      <c r="F15" s="20">
        <f>F13*F14</f>
        <v>2001455068.4713855</v>
      </c>
      <c r="G15" s="20">
        <f>G13*G14</f>
        <v>1851024552.6499019</v>
      </c>
      <c r="H15" s="20">
        <f>H13*H14</f>
        <v>1706744863.1085496</v>
      </c>
      <c r="I15" s="20">
        <f>I13*I14</f>
        <v>1568902417.3434906</v>
      </c>
      <c r="J15" s="20">
        <f>J13*J14</f>
        <v>1437717398.1813416</v>
      </c>
      <c r="K15" s="20">
        <f>K13*K14</f>
        <v>1313345963.410235</v>
      </c>
    </row>
    <row r="17" spans="1:2" x14ac:dyDescent="0.25">
      <c r="A17" s="22" t="s">
        <v>59</v>
      </c>
      <c r="B17" s="23">
        <f>SUM(B15:K15)</f>
        <v>19497060000.665356</v>
      </c>
    </row>
    <row r="19" spans="1:11" x14ac:dyDescent="0.25">
      <c r="A19" t="s">
        <v>7</v>
      </c>
      <c r="B19" s="9">
        <f>Assumptions!$B$10+($B$20-Assumptions!$B$10)*0/9</f>
        <v>0.015540346344316378</v>
      </c>
      <c r="C19" s="9">
        <f>Assumptions!$B$10+($B$20-Assumptions!$B$10)*1/9</f>
        <v>0.018924080109128785</v>
      </c>
      <c r="D19" s="9">
        <f>Assumptions!$B$10+($B$20-Assumptions!$B$10)*2/9</f>
        <v>0.022307813873941196</v>
      </c>
      <c r="E19" s="9">
        <f>Assumptions!$B$10+($B$20-Assumptions!$B$10)*3/9</f>
        <v>0.025691547638753604</v>
      </c>
      <c r="F19" s="9">
        <f>Assumptions!$B$10+($B$20-Assumptions!$B$10)*4/9</f>
        <v>0.029075281403566015</v>
      </c>
      <c r="G19" s="9">
        <f>Assumptions!$B$10+($B$20-Assumptions!$B$10)*5/9</f>
        <v>0.03245901516837842</v>
      </c>
      <c r="H19" s="9">
        <f>Assumptions!$B$10+($B$20-Assumptions!$B$10)*6/9</f>
        <v>0.03584274893319083</v>
      </c>
      <c r="I19" s="9">
        <f>Assumptions!$B$10+($B$20-Assumptions!$B$10)*7/9</f>
        <v>0.039226482698003245</v>
      </c>
      <c r="J19" s="9">
        <f>Assumptions!$B$10+($B$20-Assumptions!$B$10)*8/9</f>
        <v>0.04261021646281565</v>
      </c>
      <c r="K19" s="9">
        <f>Assumptions!$B$10+($B$20-Assumptions!$B$10)*9/9</f>
        <v>0.04599395022762806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0.04599395022762806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2961435162.0161476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3640363492.4066453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0.1493296132201158</v>
      </c>
    </row>
    <row r="7" spans="1:2" x14ac:dyDescent="0.25">
      <c r="A7" t="s">
        <v>66</v>
      </c>
      <c r="B7" s="18">
        <f>-MAX(B5,0)*B6</f>
        <v>-543614072.3017143</v>
      </c>
    </row>
    <row r="8" spans="1:2" x14ac:dyDescent="0.25">
      <c r="A8" t="s">
        <v>67</v>
      </c>
      <c r="B8" s="18">
        <f>IF(OR(Assumptions!$B$33=0,Assumptions!B12&lt;=0),B5,MAX(B5+B7,0))</f>
        <v>3096749420.104931</v>
      </c>
    </row>
    <row r="9" spans="1:2" x14ac:dyDescent="0.25">
      <c r="A9" t="s">
        <v>68</v>
      </c>
      <c r="B9" s="18">
        <f>B8*(1+Assumptions!B12)/(Assumptions!B26-Assumptions!B12)</f>
        <v>49320060477.9856</v>
      </c>
    </row>
    <row r="10" spans="1:2" x14ac:dyDescent="0.25">
      <c r="A10" t="s">
        <v>69</v>
      </c>
      <c r="B10" s="18">
        <f>B9/(1+Assumptions!B26)^(10-0.5*Assumptions!B32)</f>
        <v>21872605274.19842</v>
      </c>
    </row>
    <row r="11" spans="1:2" x14ac:dyDescent="0.25">
      <c r="A11" t="s">
        <v>70</v>
      </c>
      <c r="B11" s="18">
        <f>Forecast!B17+B10</f>
        <v>41369665274.86378</v>
      </c>
    </row>
    <row r="12" spans="1:2" x14ac:dyDescent="0.25">
      <c r="A12" t="s">
        <v>71</v>
      </c>
      <c r="B12" s="18">
        <f>-Assumptions!B30</f>
        <v>762000000</v>
      </c>
    </row>
    <row r="13" spans="1:2" x14ac:dyDescent="0.25">
      <c r="A13" t="s">
        <v>72</v>
      </c>
      <c r="B13" s="18">
        <f>B11+B12</f>
        <v>42131665274.86378</v>
      </c>
    </row>
    <row r="14" spans="1:2" x14ac:dyDescent="0.25">
      <c r="A14" s="19" t="s">
        <v>73</v>
      </c>
      <c r="B14" s="24">
        <f>B13/Assumptions!B31</f>
        <v>86.15882469297296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5444076806.03929</v>
      </c>
    </row>
    <row r="18" spans="1:2" x14ac:dyDescent="0.25">
      <c r="A18" t="s">
        <v>68</v>
      </c>
      <c r="B18" s="18">
        <f>B17*Assumptions!B13</f>
        <v>39800809222.147</v>
      </c>
    </row>
    <row r="19" spans="1:2" x14ac:dyDescent="0.25">
      <c r="A19" t="s">
        <v>69</v>
      </c>
      <c r="B19" s="18">
        <f>B18/(1+Assumptions!B26)^(10-0.5*Assumptions!B32)</f>
        <v>17650979769.140255</v>
      </c>
    </row>
    <row r="20" spans="1:2" x14ac:dyDescent="0.25">
      <c r="A20" t="s">
        <v>70</v>
      </c>
      <c r="B20" s="18">
        <f>Forecast!B17+B19</f>
        <v>37148039769.80561</v>
      </c>
    </row>
    <row r="21" spans="1:2" x14ac:dyDescent="0.25">
      <c r="A21" t="s">
        <v>71</v>
      </c>
      <c r="B21" s="18">
        <f>-Assumptions!B30</f>
        <v>762000000</v>
      </c>
    </row>
    <row r="22" spans="1:2" x14ac:dyDescent="0.25">
      <c r="A22" t="s">
        <v>72</v>
      </c>
      <c r="B22" s="18">
        <f>B20+B21</f>
        <v>37910039769.80561</v>
      </c>
    </row>
    <row r="23" spans="1:2" x14ac:dyDescent="0.25">
      <c r="A23" s="19" t="s">
        <v>73</v>
      </c>
      <c r="B23" s="25">
        <f>B22/Assumptions!B31</f>
        <v>77.52564370103397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65.11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86.15882469297296</v>
      </c>
    </row>
    <row r="29" spans="1:2" x14ac:dyDescent="0.25">
      <c r="A29" s="19" t="s">
        <v>81</v>
      </c>
      <c r="B29" s="11">
        <f>B28/B26-1</f>
        <v>0.3232809813081394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0.069359</v>
      </c>
      <c r="B5" s="31">
        <v>113.08122835555581</v>
      </c>
      <c r="C5" s="31">
        <v>117.14072474272211</v>
      </c>
      <c r="D5" s="31">
        <v>122.2361166050153</v>
      </c>
      <c r="E5" s="31">
        <v>128.76219121159622</v>
      </c>
      <c r="F5" s="31">
        <v>137.3435372048677</v>
      </c>
    </row>
    <row r="6" spans="1:6" x14ac:dyDescent="0.25">
      <c r="A6" s="30">
        <v>0.079359</v>
      </c>
      <c r="B6" s="31">
        <v>96.05318958276922</v>
      </c>
      <c r="C6" s="31">
        <v>98.2244203429649</v>
      </c>
      <c r="D6" s="31">
        <v>100.88824904700138</v>
      </c>
      <c r="E6" s="31">
        <v>104.1943742130337</v>
      </c>
      <c r="F6" s="31">
        <v>108.35998844977567</v>
      </c>
    </row>
    <row r="7" spans="1:6" x14ac:dyDescent="0.25">
      <c r="A7" s="30">
        <v>0.089359</v>
      </c>
      <c r="B7" s="31">
        <v>83.6130492467392</v>
      </c>
      <c r="C7" s="31">
        <v>84.75936858198678</v>
      </c>
      <c r="D7" s="32">
        <v>86.15827905440725</v>
      </c>
      <c r="E7" s="31">
        <v>87.87361036223659</v>
      </c>
      <c r="F7" s="31">
        <v>89.99267670424835</v>
      </c>
    </row>
    <row r="8" spans="1:6" x14ac:dyDescent="0.25">
      <c r="A8" s="30">
        <v>0.099359</v>
      </c>
      <c r="B8" s="31">
        <v>74.12836280570697</v>
      </c>
      <c r="C8" s="31">
        <v>74.68467317534439</v>
      </c>
      <c r="D8" s="31">
        <v>75.37685565021663</v>
      </c>
      <c r="E8" s="31">
        <v>76.23429475977947</v>
      </c>
      <c r="F8" s="31">
        <v>77.29550647725127</v>
      </c>
    </row>
    <row r="9" spans="1:6" x14ac:dyDescent="0.25">
      <c r="A9" s="30">
        <v>0.109359</v>
      </c>
      <c r="B9" s="31">
        <v>66.65879220491576</v>
      </c>
      <c r="C9" s="31">
        <v>66.8620003955071</v>
      </c>
      <c r="D9" s="31">
        <v>67.14031760326249</v>
      </c>
      <c r="E9" s="31">
        <v>67.50794051989253</v>
      </c>
      <c r="F9" s="31">
        <v>67.98288425632015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21108000000</v>
      </c>
      <c r="C5" s="18">
        <v>19736000000</v>
      </c>
      <c r="D5" s="18">
        <v>19353000000</v>
      </c>
      <c r="E5" s="18">
        <v>19428000000</v>
      </c>
      <c r="F5" s="6" t="s">
        <v>91</v>
      </c>
    </row>
    <row r="6" spans="1:6" x14ac:dyDescent="0.25">
      <c r="A6" t="s">
        <v>51</v>
      </c>
      <c r="B6" s="18">
        <v>3327000000</v>
      </c>
      <c r="C6" s="18">
        <v>3026000000</v>
      </c>
      <c r="D6" s="18">
        <v>2918000000</v>
      </c>
      <c r="E6" s="18">
        <v>2968000000</v>
      </c>
      <c r="F6" s="6" t="s">
        <v>92</v>
      </c>
    </row>
    <row r="7" spans="1:6" x14ac:dyDescent="0.25">
      <c r="A7" t="s">
        <v>93</v>
      </c>
      <c r="B7" s="18">
        <v>550000000</v>
      </c>
      <c r="C7" s="18">
        <v>542000000</v>
      </c>
      <c r="D7" s="18">
        <v>555000000</v>
      </c>
      <c r="E7" s="18">
        <v>569000000</v>
      </c>
      <c r="F7" s="6" t="s">
        <v>94</v>
      </c>
    </row>
    <row r="8" spans="1:6" x14ac:dyDescent="0.25">
      <c r="A8" t="s">
        <v>95</v>
      </c>
      <c r="B8" s="18">
        <v>288000000</v>
      </c>
      <c r="C8" s="18">
        <v>297000000</v>
      </c>
      <c r="D8" s="18">
        <v>317000000</v>
      </c>
      <c r="E8" s="18">
        <v>332000000</v>
      </c>
      <c r="F8" s="6" t="s">
        <v>96</v>
      </c>
    </row>
    <row r="9" spans="1:6" x14ac:dyDescent="0.25">
      <c r="A9" t="s">
        <v>97</v>
      </c>
      <c r="B9" s="18">
        <v>338000000</v>
      </c>
      <c r="C9" s="18">
        <v>510000000</v>
      </c>
      <c r="D9" s="18">
        <v>189000000</v>
      </c>
      <c r="E9" s="18">
        <v>324000000</v>
      </c>
      <c r="F9" s="6" t="s">
        <v>98</v>
      </c>
    </row>
    <row r="10" spans="1:6" x14ac:dyDescent="0.25">
      <c r="A10" t="s">
        <v>99</v>
      </c>
      <c r="B10" s="18">
        <v>1152000000</v>
      </c>
      <c r="C10" s="18">
        <v>1480000000</v>
      </c>
      <c r="D10" s="18">
        <v>1315000000</v>
      </c>
      <c r="E10" s="18">
        <v>1534000000</v>
      </c>
      <c r="F10" s="6" t="s">
        <v>100</v>
      </c>
    </row>
    <row r="11" spans="1:6" x14ac:dyDescent="0.25">
      <c r="A11" t="s">
        <v>101</v>
      </c>
      <c r="B11" s="18">
        <v>1914000000</v>
      </c>
      <c r="C11" s="18">
        <v>2243000000</v>
      </c>
      <c r="D11" s="18">
        <v>2635000000</v>
      </c>
      <c r="E11" s="18">
        <v>2501000000</v>
      </c>
      <c r="F11" s="6" t="s">
        <v>102</v>
      </c>
    </row>
    <row r="12" spans="1:6" x14ac:dyDescent="0.25">
      <c r="A12" t="s">
        <v>34</v>
      </c>
      <c r="B12" s="34">
        <v>489000000</v>
      </c>
      <c r="C12" s="34">
        <v>497000000</v>
      </c>
      <c r="D12" s="34">
        <v>505000000</v>
      </c>
      <c r="E12" s="34">
        <v>519000000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