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<sst xmlns="http://schemas.openxmlformats.org/spreadsheetml/2006/main" count="112" uniqueCount="100">
  <si>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Cenovus Energy Inc. (CVE.TO)</t>
  </si>
  <si>
    <t>DCF Studio - Base case</t>
  </si>
  <si>
    <t>Blue figures on a cream fill are inputs. Every other figure is a formula - change an input and the model reprices. Currency figures are CAD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</si>
  <si>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</si>
  <si>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</si>
  <si>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</si>
  <si>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</si>
  <si>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</si>
  <si>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</si>
  <si>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</si>
  <si>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</si>
  <si>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</si>
  <si>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</si>
  <si>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</si>
  <si>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</si>
  <si>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</si>
  <si>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CAD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</si>
  <si>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</si>
  <si>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</si>
  <si>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</si>
  <si>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</si>
  <si>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</si>
  <si>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</si>
  <si>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(CAD m)</t>
  </si>
  <si>
    <t>Total debt (CAD m)</t>
  </si>
  <si>
    <t>Equity weight</t>
  </si>
  <si>
    <t>Debt weight</t>
  </si>
  <si>
    <t>WACC</t>
  </si>
  <si>
    <t>Base year</t>
  </si>
  <si>
    <t>Revenue, last reported year (CAD m)</t>
  </si>
  <si>
    <t>Fiscal year ended 2025-12-31</t>
  </si>
  <si>
    <t>Net debt (CAD m)</t>
  </si>
  <si>
    <t>Diluted shares</t>
  </si>
  <si>
    <t>Mid-year discounting (1 = yes, 0 = no)</t>
  </si>
  <si>
    <t>Terminal year on a steady-state footing (1 = yes, 0 = no)</t>
  </si>
  <si>
    <t>Forecast cashflows (CAD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</si>
  <si>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</si>
  <si>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</si>
  <si>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</si>
  <si>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</si>
  <si>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</si>
  <si>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</si>
  <si>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</si>
  <si>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</si>
  <si>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</si>
  <si>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</si>
  <si>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</si>
  <si>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</si>
  <si>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</si>
  <si>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</si>
  <si>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</si>
  <si>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</si>
  <si>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</si>
  <si>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(CAD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</si>
  <si>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</si>
  <si>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</si>
  <si>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</si>
  <si>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</si>
  <si>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</si>
  <si>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</si>
  <si>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</si>
  <si>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</si>
  <si>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</si>
  <si>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</si>
  <si>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</si>
  <si>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</si>
  <si>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</si>
  <si>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</si>
  <si>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</si>
  <si>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(CAD)</t>
  </si>
  <si>
    <t>Conversion, CAD to CAD</t>
  </si>
  <si>
    <t>Same currency, no conversion</t>
  </si>
  <si>
    <t>Value per share (CAD)</t>
  </si>
  <si>
    <t>Implied upside</t>
  </si>
  <si>
    <t>Value per share (CAD)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</si>
  <si>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</si>
  <si>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(CAD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</si>
  <si>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</si>
  <si>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</si>
  <si>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</si>
  <si>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</si>
  <si>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</si>
  <si>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</si>
  <si>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</si>
  <si>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</si>
  <si>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</si>
  <si>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</si>
  <si>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</si>
  <si>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</si>
  <si>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</si>
  <si>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</si>
  <si>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</si>
  <si>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</si>
  <si>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</si>
  <si>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</si>
  <si>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</si>
  <si>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</si>
  <si>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</si>
  <si>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CAD assumption - no free live source available for this market.</t>
  </si>
  <si>
    <t>Data: Yahoo Finance. Risk-free rate: CAD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</si>
</sst>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-0.0975163640344634</v>
      </c>
    </row>
    <row r="7" spans="1:2" x14ac:dyDescent="0.25">
      <c r="A7" t="s">
        <v>5</v>
      </c>
      <c r="B7" s="6">
        <v>0.10524503483627486</v>
      </c>
    </row>
    <row r="8" spans="1:2" x14ac:dyDescent="0.25">
      <c r="A8" t="s">
        <v>6</v>
      </c>
      <c r="B8" s="6">
        <v>0.20646084090723</v>
      </c>
    </row>
    <row r="9" spans="1:2" x14ac:dyDescent="0.25">
      <c r="A9" t="s">
        <v>7</v>
      </c>
      <c r="B9" s="6">
        <v>0.08174250335061953</v>
      </c>
    </row>
    <row r="10" spans="1:2" x14ac:dyDescent="0.25">
      <c r="A10" t="s">
        <v>8</v>
      </c>
      <c r="B10" s="6">
        <v>0.0774352402082829</v>
      </c>
    </row>
    <row r="11" spans="1:2" x14ac:dyDescent="0.25">
      <c r="A11" t="s">
        <v>9</v>
      </c>
      <c r="B11" s="6">
        <v>-0.07323061813271131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9.73637368856299</v>
      </c>
    </row>
    <row r="14" spans="1:3" x14ac:dyDescent="0.25">
      <c r="A14" t="s">
        <v>12</v>
      </c>
      <c r="B14" s="6">
        <v>0.11701319314218411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0.033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0.66433</v>
      </c>
      <c r="C19" s="8" t="s">
        <v>19</v>
      </c>
    </row>
    <row r="20" spans="1:2" x14ac:dyDescent="0.25">
      <c r="A20" t="s">
        <v>20</v>
      </c>
      <c r="B20" s="10">
        <f>B17+B19*B18</f>
        <v>0.06953814999999999</v>
      </c>
    </row>
    <row r="21" spans="1:3" x14ac:dyDescent="0.25">
      <c r="A21" t="s">
        <v>21</v>
      </c>
      <c r="B21" s="6">
        <v>0.053218469465802505</v>
      </c>
      <c r="C21" s="8" t="s">
        <v>22</v>
      </c>
    </row>
    <row r="22" spans="1:2" x14ac:dyDescent="0.25">
      <c r="A22" t="s">
        <v>23</v>
      </c>
      <c r="B22" s="11">
        <v>84134453248</v>
      </c>
    </row>
    <row r="23" spans="1:2" x14ac:dyDescent="0.25">
      <c r="A23" t="s">
        <v>24</v>
      </c>
      <c r="B23" s="11">
        <v>14207000000</v>
      </c>
    </row>
    <row r="24" spans="1:2" x14ac:dyDescent="0.25">
      <c r="A24" t="s">
        <v>25</v>
      </c>
      <c r="B24" s="10">
        <f>B22/(B22+B23)</f>
        <v>0.8555339632395667</v>
      </c>
    </row>
    <row r="25" spans="1:2" x14ac:dyDescent="0.25">
      <c r="A25" t="s">
        <v>26</v>
      </c>
      <c r="B25" s="10">
        <f>1-B24</f>
        <v>0.14446603676043335</v>
      </c>
    </row>
    <row r="26" spans="1:2" x14ac:dyDescent="0.25">
      <c r="A26" t="s">
        <v>27</v>
      </c>
      <c r="B26" s="12">
        <f>B24*B20+B25*B21*(1-B8)</f>
        <v>0.06559318552525187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52751000000</v>
      </c>
      <c r="C29" s="8" t="s">
        <v>30</v>
      </c>
    </row>
    <row r="30" spans="1:2" x14ac:dyDescent="0.25">
      <c r="A30" t="s">
        <v>31</v>
      </c>
      <c r="B30" s="11">
        <v>11467000000</v>
      </c>
    </row>
    <row r="31" spans="1:2" x14ac:dyDescent="0.25">
      <c r="A31" t="s">
        <v>32</v>
      </c>
      <c r="B31" s="13">
        <v>1819861000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-0.0975163640344634</v>
      </c>
      <c r="C5" s="10">
        <f>Assumptions!B6</f>
        <v>-0.0975163640344634</v>
      </c>
      <c r="D5" s="10">
        <f>Assumptions!B6</f>
        <v>-0.0975163640344634</v>
      </c>
      <c r="E5" s="10">
        <f>Assumptions!B6</f>
        <v>-0.0975163640344634</v>
      </c>
      <c r="F5" s="10">
        <f>Assumptions!B6</f>
        <v>-0.0975163640344634</v>
      </c>
    </row>
    <row r="6" spans="1:6" x14ac:dyDescent="0.25">
      <c r="A6" t="s">
        <v>43</v>
      </c>
      <c r="B6" s="18">
        <f>Assumptions!B29*(1+B5)</f>
        <v>47606914280.81802</v>
      </c>
      <c r="C6" s="18">
        <f>B6*(1+C5)</f>
        <v>42964461097.25228</v>
      </c>
      <c r="D6" s="18">
        <f>C6*(1+D5)</f>
        <v>38774723068.34808</v>
      </c>
      <c r="E6" s="18">
        <f>D6*(1+E5)</f>
        <v>34993553058.27955</v>
      </c>
      <c r="F6" s="18">
        <f>E6*(1+F5)</f>
        <v>31581108999.38905</v>
      </c>
    </row>
    <row r="7" spans="1:6" x14ac:dyDescent="0.25">
      <c r="A7" t="s">
        <v>5</v>
      </c>
      <c r="B7" s="10">
        <f>Assumptions!B7</f>
        <v>0.10524503483627486</v>
      </c>
      <c r="C7" s="10">
        <f>Assumptions!B7</f>
        <v>0.10524503483627486</v>
      </c>
      <c r="D7" s="10">
        <f>Assumptions!B7</f>
        <v>0.10524503483627486</v>
      </c>
      <c r="E7" s="10">
        <f>Assumptions!B7</f>
        <v>0.10524503483627486</v>
      </c>
      <c r="F7" s="10">
        <f>Assumptions!B7</f>
        <v>0.10524503483627486</v>
      </c>
    </row>
    <row r="8" spans="1:6" x14ac:dyDescent="0.25">
      <c r="A8" t="s">
        <v>44</v>
      </c>
      <c r="B8" s="18">
        <f>B6*B7</f>
        <v>5010391351.932244</v>
      </c>
      <c r="C8" s="18">
        <f>C6*C7</f>
        <v>4521796204.902092</v>
      </c>
      <c r="D8" s="18">
        <f>D6*D7</f>
        <v>4080847080.0952044</v>
      </c>
      <c r="E8" s="18">
        <f>E6*E7</f>
        <v>3682897710.663664</v>
      </c>
      <c r="F8" s="18">
        <f>F6*F7</f>
        <v>3323754916.8088937</v>
      </c>
    </row>
    <row r="9" spans="1:6" x14ac:dyDescent="0.25">
      <c r="A9" t="s">
        <v>45</v>
      </c>
      <c r="B9" s="18">
        <f>B8*(1-Assumptions!B8)</f>
        <v>3975941740.1380005</v>
      </c>
      <c r="C9" s="18">
        <f>C8*(1-Assumptions!B8)</f>
        <v>3588222358.026885</v>
      </c>
      <c r="D9" s="18">
        <f>D8*(1-Assumptions!B8)</f>
        <v>3238311960.3249345</v>
      </c>
      <c r="E9" s="18">
        <f>E8*(1-Assumptions!B8)</f>
        <v>2922523552.344732</v>
      </c>
      <c r="F9" s="18">
        <f>F8*(1-Assumptions!B8)</f>
        <v>2637529681.714989</v>
      </c>
    </row>
    <row r="10" spans="1:6" x14ac:dyDescent="0.25">
      <c r="A10" t="s">
        <v>46</v>
      </c>
      <c r="B10" s="18">
        <f>B6*Assumptions!B9</f>
        <v>3891508350.112424</v>
      </c>
      <c r="C10" s="18">
        <f>C6*Assumptions!B9</f>
        <v>3512022605.199707</v>
      </c>
      <c r="D10" s="18">
        <f>D6*Assumptions!B9</f>
        <v>3169542930.3337874</v>
      </c>
      <c r="E10" s="18">
        <f>E6*Assumptions!B9</f>
        <v>2860460628.116498</v>
      </c>
      <c r="F10" s="18">
        <f>F6*Assumptions!B9</f>
        <v>2581518908.1988397</v>
      </c>
    </row>
    <row r="11" spans="1:6" x14ac:dyDescent="0.25">
      <c r="A11" t="s">
        <v>47</v>
      </c>
      <c r="B11" s="18">
        <f>-B6*Assumptions!B10</f>
        <v>-3686452842.910277</v>
      </c>
      <c r="C11" s="18">
        <f>-C6*Assumptions!B10</f>
        <v>-3326963365.485156</v>
      </c>
      <c r="D11" s="18">
        <f>-D6*Assumptions!B10</f>
        <v>-3002529994.807182</v>
      </c>
      <c r="E11" s="18">
        <f>-E6*Assumptions!B10</f>
        <v>-2709734186.8091693</v>
      </c>
      <c r="F11" s="18">
        <f>-F6*Assumptions!B10</f>
        <v>-2445490761.4116554</v>
      </c>
    </row>
    <row r="12" spans="1:6" x14ac:dyDescent="0.25">
      <c r="A12" t="s">
        <v>48</v>
      </c>
      <c r="B12" s="18">
        <f>-(B6-Assumptions!B29)*Assumptions!B11</f>
        <v>-376704576.94334894</v>
      </c>
      <c r="C12" s="18">
        <f>-(C6-B6)*Assumptions!B11</f>
        <v>-339969716.2846928</v>
      </c>
      <c r="D12" s="18">
        <f>-(D6-C6)*Assumptions!B11</f>
        <v>-306817105.6707819</v>
      </c>
      <c r="E12" s="18">
        <f>-(E6-D6)*Assumptions!B11</f>
        <v>-276897417.10218906</v>
      </c>
      <c r="F12" s="18">
        <f>-(F6-E6)*Assumptions!B11</f>
        <v>-249895387.77584958</v>
      </c>
    </row>
    <row r="13" spans="1:6" x14ac:dyDescent="0.25">
      <c r="A13" s="19" t="s">
        <v>49</v>
      </c>
      <c r="B13" s="20">
        <f>B9+B10+B11+B12</f>
        <v>3804292670.3967986</v>
      </c>
      <c r="C13" s="20">
        <f>C9+C10+C11+C12</f>
        <v>3433311881.4567432</v>
      </c>
      <c r="D13" s="20">
        <f>D9+D10+D11+D12</f>
        <v>3098507790.180758</v>
      </c>
      <c r="E13" s="20">
        <f>E9+E10+E11+E12</f>
        <v>2796352576.549871</v>
      </c>
      <c r="F13" s="20">
        <f>F9+F10+F11+F12</f>
        <v>2523662440.726324</v>
      </c>
    </row>
    <row r="14" spans="1:6" x14ac:dyDescent="0.25">
      <c r="A14" t="s">
        <v>50</v>
      </c>
      <c r="B14" s="21">
        <f>1/(1+Assumptions!$B$26)^(1-0.5*Assumptions!$B$32)</f>
        <v>0.9687334203782917</v>
      </c>
      <c r="C14" s="21">
        <f>1/(1+Assumptions!$B$26)^(2-0.5*Assumptions!$B$32)</f>
        <v>0.9091024919615865</v>
      </c>
      <c r="D14" s="21">
        <f>1/(1+Assumptions!$B$26)^(3-0.5*Assumptions!$B$32)</f>
        <v>0.8531421787513329</v>
      </c>
      <c r="E14" s="21">
        <f>1/(1+Assumptions!$B$26)^(4-0.5*Assumptions!$B$32)</f>
        <v>0.8006265339720638</v>
      </c>
      <c r="F14" s="21">
        <f>1/(1+Assumptions!$B$26)^(5-0.5*Assumptions!$B$32)</f>
        <v>0.751343519128662</v>
      </c>
    </row>
    <row r="15" spans="1:6" x14ac:dyDescent="0.25">
      <c r="A15" s="19" t="s">
        <v>51</v>
      </c>
      <c r="B15" s="20">
        <f>B13*B14</f>
        <v>3685345450.713556</v>
      </c>
      <c r="C15" s="20">
        <f>C13*C14</f>
        <v>3121232387.1136484</v>
      </c>
      <c r="D15" s="20">
        <f>D13*D14</f>
        <v>2643467686.9927897</v>
      </c>
      <c r="E15" s="20">
        <f>E13*E14</f>
        <v>2238834071.1269736</v>
      </c>
      <c r="F15" s="20">
        <f>F13*F14</f>
        <v>1896137419.3081448</v>
      </c>
    </row>
    <row r="17" spans="1:2" x14ac:dyDescent="0.25">
      <c r="A17" s="22" t="s">
        <v>52</v>
      </c>
      <c r="B17" s="23">
        <f>SUM(B15:F15)</f>
        <v>13585017015.255114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2523662440.726324</v>
      </c>
    </row>
    <row r="5" spans="1:2" x14ac:dyDescent="0.25">
      <c r="A5" t="s">
        <v>56</v>
      </c>
      <c r="B5" s="18">
        <f>IF(Assumptions!$B$33=0,B4,B4-Forecast!F11-Forecast!F10-Forecast!F12)</f>
        <v>2879630688.3543987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0.21365112196897496</v>
      </c>
    </row>
    <row r="7" spans="1:2" x14ac:dyDescent="0.25">
      <c r="A7" t="s">
        <v>58</v>
      </c>
      <c r="B7" s="18">
        <f>-MAX(Forecast!F9,0)*B6</f>
        <v>-615236327.423209</v>
      </c>
    </row>
    <row r="8" spans="1:2" x14ac:dyDescent="0.25">
      <c r="A8" t="s">
        <v>59</v>
      </c>
      <c r="B8" s="18">
        <f>IF(OR(Assumptions!$B$33=0,Assumptions!B12&lt;=0),B5,MAX(B5+B7,0))</f>
        <v>2264394360.9311895</v>
      </c>
    </row>
    <row r="9" spans="1:2" x14ac:dyDescent="0.25">
      <c r="A9" t="s">
        <v>60</v>
      </c>
      <c r="B9" s="18">
        <f>B8*(1+Assumptions!B12)/(Assumptions!B26-Assumptions!B12)</f>
        <v>57177188484.27499</v>
      </c>
    </row>
    <row r="10" spans="1:2" x14ac:dyDescent="0.25">
      <c r="A10" t="s">
        <v>61</v>
      </c>
      <c r="B10" s="18">
        <f>B9/(1+Assumptions!B26)^(5-0.5*Assumptions!B32)</f>
        <v>42959710009.65798</v>
      </c>
    </row>
    <row r="11" spans="1:2" x14ac:dyDescent="0.25">
      <c r="A11" t="s">
        <v>62</v>
      </c>
      <c r="B11" s="18">
        <f>Forecast!B17+B10</f>
        <v>56544727024.91309</v>
      </c>
    </row>
    <row r="12" spans="1:2" x14ac:dyDescent="0.25">
      <c r="A12" t="s">
        <v>63</v>
      </c>
      <c r="B12" s="18">
        <f>-Assumptions!B30</f>
        <v>-11467000000</v>
      </c>
    </row>
    <row r="13" spans="1:2" x14ac:dyDescent="0.25">
      <c r="A13" t="s">
        <v>64</v>
      </c>
      <c r="B13" s="18">
        <f>B11+B12</f>
        <v>45077727024.91309</v>
      </c>
    </row>
    <row r="14" spans="1:2" x14ac:dyDescent="0.25">
      <c r="A14" s="19" t="s">
        <v>65</v>
      </c>
      <c r="B14" s="24">
        <f>B13/Assumptions!B31</f>
        <v>24.76987364689561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5905273825.007733</v>
      </c>
    </row>
    <row r="18" spans="1:2" x14ac:dyDescent="0.25">
      <c r="A18" t="s">
        <v>60</v>
      </c>
      <c r="B18" s="18">
        <f>B17*Assumptions!B13</f>
        <v>57495952693.565025</v>
      </c>
    </row>
    <row r="19" spans="1:2" x14ac:dyDescent="0.25">
      <c r="A19" t="s">
        <v>61</v>
      </c>
      <c r="B19" s="18">
        <f>B18/(1+Assumptions!B26)^(5-0.5*Assumptions!B32)</f>
        <v>43199211432.438225</v>
      </c>
    </row>
    <row r="20" spans="1:2" x14ac:dyDescent="0.25">
      <c r="A20" t="s">
        <v>62</v>
      </c>
      <c r="B20" s="18">
        <f>Forecast!B17+B19</f>
        <v>56784228447.69334</v>
      </c>
    </row>
    <row r="21" spans="1:2" x14ac:dyDescent="0.25">
      <c r="A21" t="s">
        <v>63</v>
      </c>
      <c r="B21" s="18">
        <f>-Assumptions!B30</f>
        <v>-11467000000</v>
      </c>
    </row>
    <row r="22" spans="1:2" x14ac:dyDescent="0.25">
      <c r="A22" t="s">
        <v>64</v>
      </c>
      <c r="B22" s="18">
        <f>B20+B21</f>
        <v>45317228447.69334</v>
      </c>
    </row>
    <row r="23" spans="1:2" x14ac:dyDescent="0.25">
      <c r="A23" s="19" t="s">
        <v>65</v>
      </c>
      <c r="B23" s="25">
        <f>B22/Assumptions!B31</f>
        <v>24.901477886329417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45.62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24.76987364689561</v>
      </c>
    </row>
    <row r="29" spans="1:2" x14ac:dyDescent="0.25">
      <c r="A29" s="19" t="s">
        <v>73</v>
      </c>
      <c r="B29" s="12">
        <f>B28/B26-1</f>
        <v>-0.45703915723595767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0.045593</v>
      </c>
      <c r="B5" s="31">
        <v>38.928396230765564</v>
      </c>
      <c r="C5" s="31">
        <v>44.260172899864976</v>
      </c>
      <c r="D5" s="31">
        <v>52.15420576066039</v>
      </c>
      <c r="E5" s="31">
        <v>65.07530869601209</v>
      </c>
      <c r="F5" s="31">
        <v>90.141960995861</v>
      </c>
    </row>
    <row r="6" spans="1:6" x14ac:dyDescent="0.25">
      <c r="A6" s="30">
        <v>0.055593</v>
      </c>
      <c r="B6" s="31">
        <v>28.3585455986024</v>
      </c>
      <c r="C6" s="31">
        <v>30.789984249888622</v>
      </c>
      <c r="D6" s="31">
        <v>33.99886733894579</v>
      </c>
      <c r="E6" s="31">
        <v>38.44085331013619</v>
      </c>
      <c r="F6" s="31">
        <v>45.014137823732646</v>
      </c>
    </row>
    <row r="7" spans="1:6" x14ac:dyDescent="0.25">
      <c r="A7" s="30">
        <v>0.065593</v>
      </c>
      <c r="B7" s="31">
        <v>21.957671712216708</v>
      </c>
      <c r="C7" s="31">
        <v>23.21519993382492</v>
      </c>
      <c r="D7" s="32">
        <v>24.77000285256474</v>
      </c>
      <c r="E7" s="31">
        <v>26.74736129491819</v>
      </c>
      <c r="F7" s="31">
        <v>29.354457716159487</v>
      </c>
    </row>
    <row r="8" spans="1:6" x14ac:dyDescent="0.25">
      <c r="A8" s="30">
        <v>0.075593</v>
      </c>
      <c r="B8" s="31">
        <v>17.66201004672365</v>
      </c>
      <c r="C8" s="31">
        <v>18.354941821003653</v>
      </c>
      <c r="D8" s="31">
        <v>19.17520777203343</v>
      </c>
      <c r="E8" s="31">
        <v>20.164700573057715</v>
      </c>
      <c r="F8" s="31">
        <v>21.38595324085075</v>
      </c>
    </row>
    <row r="9" spans="1:6" x14ac:dyDescent="0.25">
      <c r="A9" s="30">
        <v>0.085593</v>
      </c>
      <c r="B9" s="31">
        <v>14.577168872847487</v>
      </c>
      <c r="C9" s="31">
        <v>14.968074569086829</v>
      </c>
      <c r="D9" s="31">
        <v>15.415782626723525</v>
      </c>
      <c r="E9" s="31">
        <v>15.935619353403505</v>
      </c>
      <c r="F9" s="31">
        <v>16.548969724037306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52751000000</v>
      </c>
      <c r="C5" s="18">
        <v>57726000000</v>
      </c>
      <c r="D5" s="18">
        <v>55474000000</v>
      </c>
      <c r="E5" s="18">
        <v>71765000000</v>
      </c>
      <c r="F5" s="8" t="s">
        <v>84</v>
      </c>
    </row>
    <row r="6" spans="1:6" x14ac:dyDescent="0.25">
      <c r="A6" t="s">
        <v>44</v>
      </c>
      <c r="B6" s="18">
        <v>4627000000</v>
      </c>
      <c r="C6" s="18">
        <v>5061000000</v>
      </c>
      <c r="D6" s="18">
        <v>5622000000</v>
      </c>
      <c r="E6" s="18">
        <v>10352000000</v>
      </c>
      <c r="F6" s="8" t="s">
        <v>85</v>
      </c>
    </row>
    <row r="7" spans="1:6" x14ac:dyDescent="0.25">
      <c r="A7" t="s">
        <v>86</v>
      </c>
      <c r="B7" s="18">
        <v>5192000000</v>
      </c>
      <c r="C7" s="18">
        <v>4871000000</v>
      </c>
      <c r="D7" s="18">
        <v>4624000000</v>
      </c>
      <c r="E7" s="18">
        <v>4364000000</v>
      </c>
      <c r="F7" s="8" t="s">
        <v>87</v>
      </c>
    </row>
    <row r="8" spans="1:6" x14ac:dyDescent="0.25">
      <c r="A8" t="s">
        <v>88</v>
      </c>
      <c r="B8" s="18">
        <v>4907000000</v>
      </c>
      <c r="C8" s="18">
        <v>5015000000</v>
      </c>
      <c r="D8" s="18">
        <v>4298000000</v>
      </c>
      <c r="E8" s="18">
        <v>3758000000</v>
      </c>
      <c r="F8" s="8" t="s">
        <v>89</v>
      </c>
    </row>
    <row r="9" spans="1:6" x14ac:dyDescent="0.25">
      <c r="A9" t="s">
        <v>90</v>
      </c>
      <c r="B9" s="18">
        <v>363000000</v>
      </c>
      <c r="C9" s="18">
        <v>-1305000000</v>
      </c>
      <c r="D9" s="18">
        <v>1193000000</v>
      </c>
      <c r="E9" s="18">
        <v>-575000000</v>
      </c>
      <c r="F9" s="8" t="s">
        <v>91</v>
      </c>
    </row>
    <row r="10" spans="1:6" x14ac:dyDescent="0.25">
      <c r="A10" t="s">
        <v>92</v>
      </c>
      <c r="B10" s="18">
        <v>14207000000</v>
      </c>
      <c r="C10" s="18">
        <v>10634000000</v>
      </c>
      <c r="D10" s="18">
        <v>9945000000</v>
      </c>
      <c r="E10" s="18">
        <v>11642000000</v>
      </c>
      <c r="F10" s="8" t="s">
        <v>93</v>
      </c>
    </row>
    <row r="11" spans="1:6" x14ac:dyDescent="0.25">
      <c r="A11" t="s">
        <v>94</v>
      </c>
      <c r="B11" s="18">
        <v>2740000000</v>
      </c>
      <c r="C11" s="18">
        <v>3093000000</v>
      </c>
      <c r="D11" s="18">
        <v>2227000000</v>
      </c>
      <c r="E11" s="18">
        <v>4524000000</v>
      </c>
      <c r="F11" s="8" t="s">
        <v>95</v>
      </c>
    </row>
    <row r="12" spans="1:6" x14ac:dyDescent="0.25">
      <c r="A12" t="s">
        <v>32</v>
      </c>
      <c r="B12" s="34">
        <v>1819861000</v>
      </c>
      <c r="C12" s="34">
        <v>1863216000</v>
      </c>
      <c r="D12" s="34">
        <v>1925440000</v>
      </c>
      <c r="E12" s="34">
        <v>2006100000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2026-09-19T00:06:16Z</dcterms:modified>
</cp:coreProperties>
</file>