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<sst xmlns="http://schemas.openxmlformats.org/spreadsheetml/2006/main" count="122" uniqueCount="109">
  <si>
    <t>Carvana Co. (CVNA)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</si>
  <si>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</si>
  <si>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</si>
  <si>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</si>
  <si>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</si>
  <si>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</si>
  <si>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</si>
  <si>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</si>
  <si>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</si>
  <si>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</si>
  <si>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</si>
  <si>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</si>
  <si>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</si>
  <si>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</si>
  <si>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</si>
  <si>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</si>
  <si>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</si>
  <si>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</si>
  <si>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</si>
  <si>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</si>
  <si>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</si>
  <si>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</si>
  <si>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</si>
  <si>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</si>
  <si>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</si>
  <si>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</si>
  <si>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</si>
  <si>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</si>
  <si>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</si>
  <si>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</si>
  <si>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</si>
  <si>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</si>
  <si>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</si>
  <si>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</si>
  <si>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</si>
  <si>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</si>
  <si>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</si>
  <si>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</si>
  <si>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</si>
  <si>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</si>
  <si>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</si>
  <si>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</si>
  <si>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</si>
  <si>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</si>
  <si>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</si>
  <si>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</si>
  <si>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</si>
  <si>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</si>
  <si>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</si>
  <si>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</si>
  <si>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</si>
  <si>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</si>
  <si>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</si>
  <si>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</si>
  <si>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</si>
  <si>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</si>
  <si>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</si>
  <si>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</si>
  <si>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</si>
  <si>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</si>
  <si>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</si>
  <si>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</si>
  <si>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</si>
  <si>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</si>
  <si>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</si>
  <si>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</si>
  <si>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</si>
  <si>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</si>
  <si>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</si>
  <si>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</si>
  <si>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</si>
  <si>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</si>
  <si>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</si>
  <si>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</si>
  <si>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</si>
  <si>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</si>
  <si>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</si>
  <si>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</si>
  <si>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</si>
  <si>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</si>
  <si>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</si>
  <si>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</si>
  <si>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</si>
  <si>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</si>
  <si>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</si>
  <si>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</si>
  <si>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</si>
  <si>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</si>
  <si>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</si>
  <si>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</si>
  <si>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</si>
  <si>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</si>
  <si>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</si>
  <si>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</si>
  <si>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</si>
  <si>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</si>
  <si>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</si>
  <si>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</si>
  <si>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</si>
  <si>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</si>
  <si>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</si>
  <si>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</si>
  <si>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</si>
  <si>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</si>
  <si>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</si>
  <si>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2.1%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</si>
  <si>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Free cashflow is negative in at least one forecast year, so terminal value carries most of the valuation.</t>
  </si>
  <si>
    <t>Current EV/EBITDA of 36.4x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</si>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</sst>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0.4616536339927173</v>
      </c>
    </row>
    <row r="7" spans="1:2" x14ac:dyDescent="0.25">
      <c r="A7" t="s">
        <v>4</v>
      </c>
      <c r="B7" s="5">
        <v>0.011745546982745506</v>
      </c>
    </row>
    <row r="8" spans="1:2" x14ac:dyDescent="0.25">
      <c r="A8" t="s">
        <v>5</v>
      </c>
      <c r="B8" s="5">
        <v>0.14285714285714285</v>
      </c>
    </row>
    <row r="9" spans="1:2" x14ac:dyDescent="0.25">
      <c r="A9" t="s">
        <v>6</v>
      </c>
      <c r="B9" s="5">
        <v>0.02192618690134564</v>
      </c>
    </row>
    <row r="10" spans="1:3" x14ac:dyDescent="0.25">
      <c r="A10" t="s">
        <v>7</v>
      </c>
      <c r="B10" s="5">
        <v>0.014900556556207334</v>
      </c>
      <c r="C10" s="6" t="s">
        <v>8</v>
      </c>
    </row>
    <row r="11" spans="1:2" x14ac:dyDescent="0.25">
      <c r="A11" t="s">
        <v>9</v>
      </c>
      <c r="B11" s="5">
        <v>0.12071967477348328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0.15578165480220754</v>
      </c>
      <c r="C14" s="6" t="s">
        <v>13</v>
      </c>
    </row>
    <row r="15" spans="1:3" x14ac:dyDescent="0.25">
      <c r="A15" t="s">
        <v>14</v>
      </c>
      <c r="B15" s="5">
        <v>0.02192618690134564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</v>
      </c>
      <c r="C19" s="6" t="s">
        <v>21</v>
      </c>
    </row>
    <row r="20" spans="1:2" x14ac:dyDescent="0.25">
      <c r="A20" t="s">
        <v>22</v>
      </c>
      <c r="B20" s="9">
        <f>B17+B19*B18</f>
        <v>0.09124</v>
      </c>
    </row>
    <row r="21" spans="1:3" x14ac:dyDescent="0.25">
      <c r="A21" t="s">
        <v>23</v>
      </c>
      <c r="B21" s="5">
        <v>0.08731736837555114</v>
      </c>
      <c r="C21" s="6" t="s">
        <v>24</v>
      </c>
    </row>
    <row r="22" spans="1:2" x14ac:dyDescent="0.25">
      <c r="A22" t="s">
        <v>25</v>
      </c>
      <c r="B22" s="10">
        <v>75696988160</v>
      </c>
    </row>
    <row r="23" spans="1:2" x14ac:dyDescent="0.25">
      <c r="A23" t="s">
        <v>26</v>
      </c>
      <c r="B23" s="10">
        <v>5521000000</v>
      </c>
    </row>
    <row r="24" spans="1:2" x14ac:dyDescent="0.25">
      <c r="A24" t="s">
        <v>27</v>
      </c>
      <c r="B24" s="9">
        <f>B22/(B22+B23)</f>
        <v>0.932022448165995</v>
      </c>
    </row>
    <row r="25" spans="1:2" x14ac:dyDescent="0.25">
      <c r="A25" t="s">
        <v>28</v>
      </c>
      <c r="B25" s="9">
        <f>1-B24</f>
        <v>0.067977551834005</v>
      </c>
    </row>
    <row r="26" spans="1:2" x14ac:dyDescent="0.25">
      <c r="A26" t="s">
        <v>29</v>
      </c>
      <c r="B26" s="11">
        <f>B24*B20+B25*B21*(1-B8)</f>
        <v>0.09012540325760077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20322000000</v>
      </c>
      <c r="C29" s="6" t="s">
        <v>32</v>
      </c>
    </row>
    <row r="30" spans="1:2" x14ac:dyDescent="0.25">
      <c r="A30" t="s">
        <v>33</v>
      </c>
      <c r="B30" s="10">
        <v>2708000000</v>
      </c>
    </row>
    <row r="31" spans="1:2" x14ac:dyDescent="0.25">
      <c r="A31" t="s">
        <v>34</v>
      </c>
      <c r="B31" s="12">
        <v>1121385000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0.4616536339927173</v>
      </c>
      <c r="C5" s="5">
        <v>0.2559390592125783</v>
      </c>
      <c r="D5" s="5">
        <v>0.227071676811006</v>
      </c>
      <c r="E5" s="5">
        <v>0.19820429440943374</v>
      </c>
      <c r="F5" s="5">
        <v>0.16933691200786144</v>
      </c>
      <c r="G5" s="5">
        <v>0.14046952960628917</v>
      </c>
      <c r="H5" s="5">
        <v>0.11160214720471687</v>
      </c>
      <c r="I5" s="5">
        <v>0.08273476480314457</v>
      </c>
      <c r="J5" s="5">
        <v>0.053867382401572295</v>
      </c>
      <c r="K5" s="5">
        <v>0.024999999999999994</v>
      </c>
    </row>
    <row r="6" spans="1:11" x14ac:dyDescent="0.25">
      <c r="A6" t="s">
        <v>50</v>
      </c>
      <c r="B6" s="18">
        <f>Assumptions!B29*(1+B5)</f>
        <v>29703725150</v>
      </c>
      <c r="C6" s="18">
        <f>B6*(1+C5)</f>
        <v>37306068620</v>
      </c>
      <c r="D6" s="18">
        <f>C6*(1+D5)</f>
        <v>45777220176.76985</v>
      </c>
      <c r="E6" s="18">
        <f>D6*(1+E5)</f>
        <v>54850461801.931816</v>
      </c>
      <c r="F6" s="18">
        <f>E6*(1+F5)</f>
        <v>64138669625.67611</v>
      </c>
      <c r="G6" s="18">
        <f>F6*(1+G5)</f>
        <v>73148198377.56802</v>
      </c>
      <c r="H6" s="18">
        <f>G6*(1+H5)</f>
        <v>81311694380.6612</v>
      </c>
      <c r="I6" s="18">
        <f>H6*(1+I5)</f>
        <v>88038998290.99037</v>
      </c>
      <c r="J6" s="18">
        <f>I6*(1+J5)</f>
        <v>92781428678.18253</v>
      </c>
      <c r="K6" s="18">
        <f>J6*(1+K5)</f>
        <v>95100964395.13708</v>
      </c>
    </row>
    <row r="7" spans="1:11" x14ac:dyDescent="0.25">
      <c r="A7" t="s">
        <v>4</v>
      </c>
      <c r="B7" s="9">
        <f>Assumptions!B7</f>
        <v>0.011745546982745506</v>
      </c>
      <c r="C7" s="9">
        <f>Assumptions!B7</f>
        <v>0.011745546982745506</v>
      </c>
      <c r="D7" s="9">
        <f>Assumptions!B7</f>
        <v>0.011745546982745506</v>
      </c>
      <c r="E7" s="9">
        <f>Assumptions!B7</f>
        <v>0.011745546982745506</v>
      </c>
      <c r="F7" s="9">
        <f>Assumptions!B7</f>
        <v>0.011745546982745506</v>
      </c>
      <c r="G7" s="9">
        <f>Assumptions!B7</f>
        <v>0.011745546982745506</v>
      </c>
      <c r="H7" s="9">
        <f>Assumptions!B7</f>
        <v>0.011745546982745506</v>
      </c>
      <c r="I7" s="9">
        <f>Assumptions!B7</f>
        <v>0.011745546982745506</v>
      </c>
      <c r="J7" s="9">
        <f>Assumptions!B7</f>
        <v>0.011745546982745506</v>
      </c>
      <c r="K7" s="9">
        <f>Assumptions!B7</f>
        <v>0.011745546982745506</v>
      </c>
    </row>
    <row r="8" spans="1:11" x14ac:dyDescent="0.25">
      <c r="A8" t="s">
        <v>51</v>
      </c>
      <c r="B8" s="18">
        <f>B6*B7</f>
        <v>348886499.3118843</v>
      </c>
      <c r="C8" s="18">
        <f>C6*C7</f>
        <v>438180181.7177378</v>
      </c>
      <c r="D8" s="18">
        <f>D6*D7</f>
        <v>537678490.3257358</v>
      </c>
      <c r="E8" s="18">
        <f>E6*E7</f>
        <v>644248676.1198778</v>
      </c>
      <c r="F8" s="18">
        <f>F6*F7</f>
        <v>753343757.4991708</v>
      </c>
      <c r="G8" s="18">
        <f>G6*G7</f>
        <v>859165600.7469138</v>
      </c>
      <c r="H8" s="18">
        <f>H6*H7</f>
        <v>955050326.5946997</v>
      </c>
      <c r="I8" s="18">
        <f>I6*I7</f>
        <v>1034066190.7406787</v>
      </c>
      <c r="J8" s="18">
        <f>J6*J7</f>
        <v>1089768629.6658442</v>
      </c>
      <c r="K8" s="18">
        <f>K6*K7</f>
        <v>1117012845.4074903</v>
      </c>
    </row>
    <row r="9" spans="1:11" x14ac:dyDescent="0.25">
      <c r="A9" t="s">
        <v>52</v>
      </c>
      <c r="B9" s="18">
        <f>B8*(1-Assumptions!B8)</f>
        <v>299045570.838758</v>
      </c>
      <c r="C9" s="18">
        <f>C8*(1-Assumptions!B8)</f>
        <v>375583012.9009181</v>
      </c>
      <c r="D9" s="18">
        <f>D8*(1-Assumptions!B8)</f>
        <v>460867277.4220593</v>
      </c>
      <c r="E9" s="18">
        <f>E8*(1-Assumptions!B8)</f>
        <v>552213150.9598953</v>
      </c>
      <c r="F9" s="18">
        <f>F8*(1-Assumptions!B8)</f>
        <v>645723220.713575</v>
      </c>
      <c r="G9" s="18">
        <f>G8*(1-Assumptions!B8)</f>
        <v>736427657.783069</v>
      </c>
      <c r="H9" s="18">
        <f>H8*(1-Assumptions!B8)</f>
        <v>818614565.6525998</v>
      </c>
      <c r="I9" s="18">
        <f>I8*(1-Assumptions!B8)</f>
        <v>886342449.2062961</v>
      </c>
      <c r="J9" s="18">
        <f>J8*(1-Assumptions!B8)</f>
        <v>934087396.8564379</v>
      </c>
      <c r="K9" s="18">
        <f>K8*(1-Assumptions!B8)</f>
        <v>957439581.7778488</v>
      </c>
    </row>
    <row r="10" spans="1:11" x14ac:dyDescent="0.25">
      <c r="A10" t="s">
        <v>53</v>
      </c>
      <c r="B10" s="18">
        <f>B6*Assumptions!B9</f>
        <v>651289429.305101</v>
      </c>
      <c r="C10" s="18">
        <f>C6*Assumptions!B9</f>
        <v>817979833.1165457</v>
      </c>
      <c r="D10" s="18">
        <f>D6*Assumptions!B9</f>
        <v>1003719885.4199065</v>
      </c>
      <c r="E10" s="18">
        <f>E6*Assumptions!B9</f>
        <v>1202661477.094277</v>
      </c>
      <c r="F10" s="18">
        <f>F6*Assumptions!B9</f>
        <v>1406316457.816235</v>
      </c>
      <c r="G10" s="18">
        <f>G6*Assumptions!B9</f>
        <v>1603861069.1232646</v>
      </c>
      <c r="H10" s="18">
        <f>H6*Assumptions!B9</f>
        <v>1782855408.2554734</v>
      </c>
      <c r="I10" s="18">
        <f>I6*Assumptions!B9</f>
        <v>1930359531.1355042</v>
      </c>
      <c r="J10" s="18">
        <f>J6*Assumptions!B9</f>
        <v>2034342946.1717005</v>
      </c>
      <c r="K10" s="18">
        <f>K6*Assumptions!B9</f>
        <v>2085201519.8259928</v>
      </c>
    </row>
    <row r="11" spans="1:11" x14ac:dyDescent="0.25">
      <c r="A11" t="s">
        <v>54</v>
      </c>
      <c r="B11" s="18">
        <f>-B6*B19</f>
        <v>-442602036.52761316</v>
      </c>
      <c r="C11" s="18">
        <f>-C6*C19</f>
        <v>-591700362.6407415</v>
      </c>
      <c r="D11" s="18">
        <f>-D6*D19</f>
        <v>-770011454.0805953</v>
      </c>
      <c r="E11" s="18">
        <f>-E6*E19</f>
        <v>-975295342.4288453</v>
      </c>
      <c r="F11" s="18">
        <f>-F6*F19</f>
        <v>-1202031167.282766</v>
      </c>
      <c r="G11" s="18">
        <f>-G6*G19</f>
        <v>-1441112683.1764374</v>
      </c>
      <c r="H11" s="18">
        <f>-H6*H19</f>
        <v>-1680014843.4194367</v>
      </c>
      <c r="I11" s="18">
        <f>-I6*I19</f>
        <v>-1903540543.550334</v>
      </c>
      <c r="J11" s="18">
        <f>-J6*J19</f>
        <v>-2095162770.5754683</v>
      </c>
      <c r="K11" s="18">
        <f>-K6*K19</f>
        <v>-2238852407.504887</v>
      </c>
    </row>
    <row r="12" spans="1:11" x14ac:dyDescent="0.25">
      <c r="A12" t="s">
        <v>55</v>
      </c>
      <c r="B12" s="18">
        <f>-(B6-Assumptions!B29)*Assumptions!B11</f>
        <v>-1132558808.9222085</v>
      </c>
      <c r="C12" s="18">
        <f>-(C6-B6)*Assumptions!B11</f>
        <v>-917752431.2147143</v>
      </c>
      <c r="D12" s="18">
        <f>-(D6-C6)*Assumptions!B11</f>
        <v>-1022634660.890143</v>
      </c>
      <c r="E12" s="18">
        <f>-(E6-D6)*Assumptions!B11</f>
        <v>-1095318778.1307833</v>
      </c>
      <c r="F12" s="18">
        <f>-(F6-E6)*Assumptions!B11</f>
        <v>-1121269427.710934</v>
      </c>
      <c r="G12" s="18">
        <f>-(G6-F6)*Assumptions!B11</f>
        <v>-1087627380.7907386</v>
      </c>
      <c r="H12" s="18">
        <f>-(H6-G6)*Assumptions!B11</f>
        <v>-985494582.5080382</v>
      </c>
      <c r="I12" s="18">
        <f>-(I6-H6)*Assumptions!B11</f>
        <v>-812117940.1573206</v>
      </c>
      <c r="J12" s="18">
        <f>-(J6-I6)*Assumptions!B11</f>
        <v>-572504653.9777212</v>
      </c>
      <c r="K12" s="18">
        <f>-(K6-J6)*Assumptions!B11</f>
        <v>-280013597.37623274</v>
      </c>
    </row>
    <row r="13" spans="1:11" x14ac:dyDescent="0.25">
      <c r="A13" s="19" t="s">
        <v>56</v>
      </c>
      <c r="B13" s="20">
        <f>B9+B10+B11+B12</f>
        <v>-624825845.3059627</v>
      </c>
      <c r="C13" s="20">
        <f>C9+C10+C11+C12</f>
        <v>-315889947.8379921</v>
      </c>
      <c r="D13" s="20">
        <f>D9+D10+D11+D12</f>
        <v>-328058952.1287726</v>
      </c>
      <c r="E13" s="20">
        <f>E9+E10+E11+E12</f>
        <v>-315739492.50545657</v>
      </c>
      <c r="F13" s="20">
        <f>F9+F10+F11+F12</f>
        <v>-271260916.4638901</v>
      </c>
      <c r="G13" s="20">
        <f>G9+G10+G11+G12</f>
        <v>-188451337.0608425</v>
      </c>
      <c r="H13" s="20">
        <f>H9+H10+H11+H12</f>
        <v>-64039452.01940143</v>
      </c>
      <c r="I13" s="20">
        <f>I9+I10+I11+I12</f>
        <v>101043496.63414562</v>
      </c>
      <c r="J13" s="20">
        <f>J9+J10+J11+J12</f>
        <v>300762918.47494864</v>
      </c>
      <c r="K13" s="20">
        <f>K9+K10+K11+K12</f>
        <v>523775096.72272193</v>
      </c>
    </row>
    <row r="14" spans="1:11" x14ac:dyDescent="0.25">
      <c r="A14" t="s">
        <v>57</v>
      </c>
      <c r="B14" s="21">
        <f>1/(1+Assumptions!$B$26)^(1-0.5*Assumptions!$B$32)</f>
        <v>0.9577711915637681</v>
      </c>
      <c r="C14" s="21">
        <f>1/(1+Assumptions!$B$26)^(2-0.5*Assumptions!$B$32)</f>
        <v>0.8785880860143971</v>
      </c>
      <c r="D14" s="21">
        <f>1/(1+Assumptions!$B$26)^(3-0.5*Assumptions!$B$32)</f>
        <v>0.805951391820546</v>
      </c>
      <c r="E14" s="21">
        <f>1/(1+Assumptions!$B$26)^(4-0.5*Assumptions!$B$32)</f>
        <v>0.739319888713846</v>
      </c>
      <c r="F14" s="21">
        <f>1/(1+Assumptions!$B$26)^(5-0.5*Assumptions!$B$32)</f>
        <v>0.6781971014569065</v>
      </c>
      <c r="G14" s="21">
        <f>1/(1+Assumptions!$B$26)^(6-0.5*Assumptions!$B$32)</f>
        <v>0.6221276005772025</v>
      </c>
      <c r="H14" s="21">
        <f>1/(1+Assumptions!$B$26)^(7-0.5*Assumptions!$B$32)</f>
        <v>0.5706936089353671</v>
      </c>
      <c r="I14" s="21">
        <f>1/(1+Assumptions!$B$26)^(8-0.5*Assumptions!$B$32)</f>
        <v>0.5235118888432234</v>
      </c>
      <c r="J14" s="21">
        <f>1/(1+Assumptions!$B$26)^(9-0.5*Assumptions!$B$32)</f>
        <v>0.4802308865372947</v>
      </c>
      <c r="K14" s="21">
        <f>1/(1+Assumptions!$B$26)^(10-0.5*Assumptions!$B$32)</f>
        <v>0.440528112731095</v>
      </c>
    </row>
    <row r="15" spans="1:11" x14ac:dyDescent="0.25">
      <c r="A15" s="19" t="s">
        <v>58</v>
      </c>
      <c r="B15" s="20">
        <f>B13*B14</f>
        <v>-598440194.3785305</v>
      </c>
      <c r="C15" s="20">
        <f>C13*C14</f>
        <v>-277537144.66216916</v>
      </c>
      <c r="D15" s="20">
        <f>D13*D14</f>
        <v>-264399569.06737417</v>
      </c>
      <c r="E15" s="20">
        <f>E13*E14</f>
        <v>-233432486.46170038</v>
      </c>
      <c r="F15" s="20">
        <f>F13*F14</f>
        <v>-183968367.2843543</v>
      </c>
      <c r="G15" s="20">
        <f>G13*G14</f>
        <v>-117240778.1512276</v>
      </c>
      <c r="H15" s="20">
        <f>H13*H14</f>
        <v>-36546905.987195484</v>
      </c>
      <c r="I15" s="20">
        <f>I13*I14</f>
        <v>52897471.77826546</v>
      </c>
      <c r="J15" s="20">
        <f>J13*J14</f>
        <v>144435642.97676867</v>
      </c>
      <c r="K15" s="20">
        <f>K13*K14</f>
        <v>230737654.85480744</v>
      </c>
    </row>
    <row r="17" spans="1:2" x14ac:dyDescent="0.25">
      <c r="A17" s="22" t="s">
        <v>59</v>
      </c>
      <c r="B17" s="23">
        <f>SUM(B15:K15)</f>
        <v>-1283494676.3827102</v>
      </c>
    </row>
    <row r="19" spans="1:11" x14ac:dyDescent="0.25">
      <c r="A19" t="s">
        <v>7</v>
      </c>
      <c r="B19" s="9">
        <f>Assumptions!$B$10+($B$20-Assumptions!$B$10)*0/9</f>
        <v>0.014900556556207334</v>
      </c>
      <c r="C19" s="9">
        <f>Assumptions!$B$10+($B$20-Assumptions!$B$10)*1/9</f>
        <v>0.01586070000213122</v>
      </c>
      <c r="D19" s="9">
        <f>Assumptions!$B$10+($B$20-Assumptions!$B$10)*2/9</f>
        <v>0.01682084344805511</v>
      </c>
      <c r="E19" s="9">
        <f>Assumptions!$B$10+($B$20-Assumptions!$B$10)*3/9</f>
        <v>0.017780986893978997</v>
      </c>
      <c r="F19" s="9">
        <f>Assumptions!$B$10+($B$20-Assumptions!$B$10)*4/9</f>
        <v>0.018741130339902885</v>
      </c>
      <c r="G19" s="9">
        <f>Assumptions!$B$10+($B$20-Assumptions!$B$10)*5/9</f>
        <v>0.019701273785826773</v>
      </c>
      <c r="H19" s="9">
        <f>Assumptions!$B$10+($B$20-Assumptions!$B$10)*6/9</f>
        <v>0.02066141723175066</v>
      </c>
      <c r="I19" s="9">
        <f>Assumptions!$B$10+($B$20-Assumptions!$B$10)*7/9</f>
        <v>0.021621560677674546</v>
      </c>
      <c r="J19" s="9">
        <f>Assumptions!$B$10+($B$20-Assumptions!$B$10)*8/9</f>
        <v>0.022581704123598435</v>
      </c>
      <c r="K19" s="9">
        <f>Assumptions!$B$10+($B$20-Assumptions!$B$10)*9/9</f>
        <v>0.023541847569522323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0.023541847569522323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523775096.72272193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957439581.7778488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0.16048102731828043</v>
      </c>
    </row>
    <row r="7" spans="1:2" x14ac:dyDescent="0.25">
      <c r="A7" t="s">
        <v>66</v>
      </c>
      <c r="B7" s="18">
        <f>-MAX(B5,0)*B6</f>
        <v>-153650887.67889395</v>
      </c>
    </row>
    <row r="8" spans="1:2" x14ac:dyDescent="0.25">
      <c r="A8" t="s">
        <v>67</v>
      </c>
      <c r="B8" s="18">
        <f>IF(OR(Assumptions!$B$33=0,Assumptions!B12&lt;=0),B5,MAX(B5+B7,0))</f>
        <v>803788694.0989549</v>
      </c>
    </row>
    <row r="9" spans="1:2" x14ac:dyDescent="0.25">
      <c r="A9" t="s">
        <v>68</v>
      </c>
      <c r="B9" s="18">
        <f>B8*(1+Assumptions!B12)/(Assumptions!B26-Assumptions!B12)</f>
        <v>12650722609.618137</v>
      </c>
    </row>
    <row r="10" spans="1:2" x14ac:dyDescent="0.25">
      <c r="A10" t="s">
        <v>69</v>
      </c>
      <c r="B10" s="18">
        <f>B9/(1+Assumptions!B26)^(10-0.5*Assumptions!B32)</f>
        <v>5572998955.899671</v>
      </c>
    </row>
    <row r="11" spans="1:2" x14ac:dyDescent="0.25">
      <c r="A11" t="s">
        <v>70</v>
      </c>
      <c r="B11" s="18">
        <f>Forecast!B17+B10</f>
        <v>4289504279.51696</v>
      </c>
    </row>
    <row r="12" spans="1:2" x14ac:dyDescent="0.25">
      <c r="A12" t="s">
        <v>71</v>
      </c>
      <c r="B12" s="18">
        <f>-Assumptions!B30</f>
        <v>-2708000000</v>
      </c>
    </row>
    <row r="13" spans="1:2" x14ac:dyDescent="0.25">
      <c r="A13" t="s">
        <v>72</v>
      </c>
      <c r="B13" s="18">
        <f>B11+B12</f>
        <v>1581504279.5169601</v>
      </c>
    </row>
    <row r="14" spans="1:2" x14ac:dyDescent="0.25">
      <c r="A14" s="19" t="s">
        <v>73</v>
      </c>
      <c r="B14" s="24">
        <f>B13/Assumptions!B31</f>
        <v>1.4103133888155808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3202214365.2334833</v>
      </c>
    </row>
    <row r="18" spans="1:2" x14ac:dyDescent="0.25">
      <c r="A18" t="s">
        <v>68</v>
      </c>
      <c r="B18" s="18">
        <f>B17*Assumptions!B13</f>
        <v>64044287304.66966</v>
      </c>
    </row>
    <row r="19" spans="1:2" x14ac:dyDescent="0.25">
      <c r="A19" t="s">
        <v>69</v>
      </c>
      <c r="B19" s="18">
        <f>B18/(1+Assumptions!B26)^(10-0.5*Assumptions!B32)</f>
        <v>28213309017.534153</v>
      </c>
    </row>
    <row r="20" spans="1:2" x14ac:dyDescent="0.25">
      <c r="A20" t="s">
        <v>70</v>
      </c>
      <c r="B20" s="18">
        <f>Forecast!B17+B19</f>
        <v>26929814341.151443</v>
      </c>
    </row>
    <row r="21" spans="1:2" x14ac:dyDescent="0.25">
      <c r="A21" t="s">
        <v>71</v>
      </c>
      <c r="B21" s="18">
        <f>-Assumptions!B30</f>
        <v>-2708000000</v>
      </c>
    </row>
    <row r="22" spans="1:2" x14ac:dyDescent="0.25">
      <c r="A22" t="s">
        <v>72</v>
      </c>
      <c r="B22" s="18">
        <f>B20+B21</f>
        <v>24221814341.151443</v>
      </c>
    </row>
    <row r="23" spans="1:2" x14ac:dyDescent="0.25">
      <c r="A23" s="19" t="s">
        <v>73</v>
      </c>
      <c r="B23" s="25">
        <f>B22/Assumptions!B31</f>
        <v>21.59990934527521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68.29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1.4103133888155808</v>
      </c>
    </row>
    <row r="29" spans="1:2" x14ac:dyDescent="0.25">
      <c r="A29" s="19" t="s">
        <v>81</v>
      </c>
      <c r="B29" s="11">
        <f>B28/B26-1</f>
        <v>-0.9793481711990689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0.070125</v>
      </c>
      <c r="B5" s="31">
        <v>4.047815057212204</v>
      </c>
      <c r="C5" s="31">
        <v>4.468205540203989</v>
      </c>
      <c r="D5" s="31">
        <v>4.994413620905521</v>
      </c>
      <c r="E5" s="31">
        <v>5.665997279769049</v>
      </c>
      <c r="F5" s="31">
        <v>6.545038614230285</v>
      </c>
    </row>
    <row r="6" spans="1:6" x14ac:dyDescent="0.25">
      <c r="A6" s="30">
        <v>0.080125</v>
      </c>
      <c r="B6" s="31">
        <v>2.357008664748607</v>
      </c>
      <c r="C6" s="31">
        <v>2.5781531064937253</v>
      </c>
      <c r="D6" s="31">
        <v>2.8491833411129526</v>
      </c>
      <c r="E6" s="31">
        <v>3.1850277854264744</v>
      </c>
      <c r="F6" s="31">
        <v>3.6072313290833584</v>
      </c>
    </row>
    <row r="7" spans="1:6" x14ac:dyDescent="0.25">
      <c r="A7" s="30">
        <v>0.090125</v>
      </c>
      <c r="B7" s="31">
        <v>1.1587863957686677</v>
      </c>
      <c r="C7" s="31">
        <v>1.2719816858287345</v>
      </c>
      <c r="D7" s="32">
        <v>1.4103615979059045</v>
      </c>
      <c r="E7" s="31">
        <v>1.580209197784072</v>
      </c>
      <c r="F7" s="31">
        <v>1.790087121599564</v>
      </c>
    </row>
    <row r="8" spans="1:6" x14ac:dyDescent="0.25">
      <c r="A8" s="30">
        <v>0.100125</v>
      </c>
      <c r="B8" s="31">
        <v>0.2763080572293682</v>
      </c>
      <c r="C8" s="31">
        <v>0.3276771432704993</v>
      </c>
      <c r="D8" s="31">
        <v>0.39227320286373923</v>
      </c>
      <c r="E8" s="31">
        <v>0.4729255351646175</v>
      </c>
      <c r="F8" s="31">
        <v>0.5733323219867914</v>
      </c>
    </row>
    <row r="9" spans="1:6" x14ac:dyDescent="0.25">
      <c r="A9" s="30">
        <v>0.110125</v>
      </c>
      <c r="B9" s="31">
        <v>-0.3926237575339052</v>
      </c>
      <c r="C9" s="31">
        <v>-0.37794477050795217</v>
      </c>
      <c r="D9" s="31">
        <v>-0.35621144431417845</v>
      </c>
      <c r="E9" s="31">
        <v>-0.3261031538353601</v>
      </c>
      <c r="F9" s="31">
        <v>-0.28594769322423774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20322000000</v>
      </c>
      <c r="C5" s="18">
        <v>13673000000</v>
      </c>
      <c r="D5" s="18">
        <v>10771000000</v>
      </c>
      <c r="E5" s="18">
        <v>13604000000</v>
      </c>
      <c r="F5" s="6" t="s">
        <v>91</v>
      </c>
    </row>
    <row r="6" spans="1:6" x14ac:dyDescent="0.25">
      <c r="A6" t="s">
        <v>51</v>
      </c>
      <c r="B6" s="18">
        <v>1881000000</v>
      </c>
      <c r="C6" s="18">
        <v>990000000</v>
      </c>
      <c r="D6" s="18">
        <v>-80000000</v>
      </c>
      <c r="E6" s="18">
        <v>-1504000000</v>
      </c>
      <c r="F6" s="6" t="s">
        <v>92</v>
      </c>
    </row>
    <row r="7" spans="1:6" x14ac:dyDescent="0.25">
      <c r="A7" t="s">
        <v>93</v>
      </c>
      <c r="B7" s="18">
        <v>275000000</v>
      </c>
      <c r="C7" s="18">
        <v>305000000</v>
      </c>
      <c r="D7" s="18">
        <v>352000000</v>
      </c>
      <c r="E7" s="18">
        <v>261000000</v>
      </c>
      <c r="F7" s="6" t="s">
        <v>94</v>
      </c>
    </row>
    <row r="8" spans="1:6" x14ac:dyDescent="0.25">
      <c r="A8" t="s">
        <v>95</v>
      </c>
      <c r="B8" s="18">
        <v>147000000</v>
      </c>
      <c r="C8" s="18">
        <v>91000000</v>
      </c>
      <c r="D8" s="18">
        <v>87000000</v>
      </c>
      <c r="E8" s="18">
        <v>512000000</v>
      </c>
      <c r="F8" s="6" t="s">
        <v>96</v>
      </c>
    </row>
    <row r="9" spans="1:6" x14ac:dyDescent="0.25">
      <c r="A9" t="s">
        <v>97</v>
      </c>
      <c r="B9" s="18">
        <v>480000000</v>
      </c>
      <c r="C9" s="18">
        <v>246000000</v>
      </c>
      <c r="D9" s="18">
        <v>-554000000</v>
      </c>
      <c r="E9" s="18">
        <v>-1393000000</v>
      </c>
      <c r="F9" s="6" t="s">
        <v>98</v>
      </c>
    </row>
    <row r="10" spans="1:6" x14ac:dyDescent="0.25">
      <c r="A10" t="s">
        <v>99</v>
      </c>
      <c r="B10" s="18">
        <v>5521000000</v>
      </c>
      <c r="C10" s="18">
        <v>6046000000</v>
      </c>
      <c r="D10" s="18">
        <v>6706000000</v>
      </c>
      <c r="E10" s="18">
        <v>8816000000</v>
      </c>
      <c r="F10" s="6" t="s">
        <v>100</v>
      </c>
    </row>
    <row r="11" spans="1:6" x14ac:dyDescent="0.25">
      <c r="A11" t="s">
        <v>101</v>
      </c>
      <c r="B11" s="18">
        <v>2813000000</v>
      </c>
      <c r="C11" s="18">
        <v>2180000000</v>
      </c>
      <c r="D11" s="18">
        <v>896000000</v>
      </c>
      <c r="E11" s="18">
        <v>755000000</v>
      </c>
      <c r="F11" s="6" t="s">
        <v>102</v>
      </c>
    </row>
    <row r="12" spans="1:6" x14ac:dyDescent="0.25">
      <c r="A12" t="s">
        <v>34</v>
      </c>
      <c r="B12" s="34">
        <v>1121385000</v>
      </c>
      <c r="C12" s="34">
        <v>661030000</v>
      </c>
      <c r="D12" s="34">
        <v>1002890000</v>
      </c>
      <c r="E12" s="34">
        <v>504140000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22" customHeight="1" spans="1:6" x14ac:dyDescent="0.25">
      <c r="A17" s="35" t="s">
        <v>106</v>
      </c>
      <c r="B17" s="35"/>
      <c r="C17" s="35"/>
      <c r="D17" s="35"/>
      <c r="E17" s="35"/>
      <c r="F17" s="35"/>
    </row>
    <row r="18" ht="38" customHeight="1" spans="1:6" x14ac:dyDescent="0.25">
      <c r="A18" s="35" t="s">
        <v>107</v>
      </c>
      <c r="B18" s="35"/>
      <c r="C18" s="35"/>
      <c r="D18" s="35"/>
      <c r="E18" s="35"/>
      <c r="F18" s="35"/>
    </row>
    <row r="20" spans="1:1" x14ac:dyDescent="0.25">
      <c r="A20" s="36" t="s">
        <v>108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