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<sst xmlns="http://schemas.openxmlformats.org/spreadsheetml/2006/main" count="113" uniqueCount="101">
  <si>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Carvana Co. (CVNA)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</si>
  <si>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</si>
  <si>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</si>
  <si>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</si>
  <si>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</si>
  <si>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</si>
  <si>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</si>
  <si>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</si>
  <si>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</si>
  <si>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</si>
  <si>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</si>
  <si>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</si>
  <si>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</si>
  <si>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</si>
  <si>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</si>
  <si>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</si>
  <si>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</si>
  <si>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</si>
  <si>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</si>
  <si>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Clamped from a reported 3.497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</si>
  <si>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</si>
  <si>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</si>
  <si>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</si>
  <si>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</si>
  <si>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</si>
  <si>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</si>
  <si>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</si>
  <si>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</si>
  <si>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</si>
  <si>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</si>
  <si>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</si>
  <si>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</si>
  <si>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</si>
  <si>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</si>
  <si>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</si>
  <si>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</si>
  <si>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</si>
  <si>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</si>
  <si>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</si>
  <si>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</si>
  <si>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</si>
  <si>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</si>
  <si>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</si>
  <si>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</si>
  <si>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</si>
  <si>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</si>
  <si>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</si>
  <si>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</si>
  <si>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</si>
  <si>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</si>
  <si>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</si>
  <si>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</si>
  <si>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</si>
  <si>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</si>
  <si>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</si>
  <si>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</si>
  <si>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</si>
  <si>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</si>
  <si>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</si>
  <si>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</si>
  <si>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</si>
  <si>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</si>
  <si>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</si>
  <si>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</si>
  <si>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</si>
  <si>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</si>
  <si>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</si>
  <si>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</si>
  <si>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</si>
  <si>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</si>
  <si>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</si>
  <si>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</si>
  <si>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</si>
  <si>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</si>
  <si>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</si>
  <si>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</si>
  <si>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</si>
  <si>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</si>
  <si>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</si>
  <si>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</si>
  <si>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</si>
  <si>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</si>
  <si>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</si>
  <si>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</si>
  <si>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</si>
  <si>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</si>
  <si>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</si>
  <si>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</si>
  <si>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</si>
  <si>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</si>
  <si>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</si>
  <si>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</si>
  <si>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</si>
  <si>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</si>
  <si>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</si>
  <si>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</si>
  <si>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</si>
  <si>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</si>
  <si>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Beta of 3.497 is not usable in a cost of equity. Clamped to 2.50.</t>
  </si>
  <si>
    <t>Current EV/EBITDA of 34.7x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</si>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</sst>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0.1431413679257303</v>
      </c>
    </row>
    <row r="7" spans="1:2" x14ac:dyDescent="0.25">
      <c r="A7" t="s">
        <v>5</v>
      </c>
      <c r="B7" s="6">
        <v>0.011745546982745506</v>
      </c>
    </row>
    <row r="8" spans="1:2" x14ac:dyDescent="0.25">
      <c r="A8" t="s">
        <v>6</v>
      </c>
      <c r="B8" s="6">
        <v>0.14285714285714285</v>
      </c>
    </row>
    <row r="9" spans="1:2" x14ac:dyDescent="0.25">
      <c r="A9" t="s">
        <v>7</v>
      </c>
      <c r="B9" s="6">
        <v>0.02192618690134564</v>
      </c>
    </row>
    <row r="10" spans="1:2" x14ac:dyDescent="0.25">
      <c r="A10" t="s">
        <v>8</v>
      </c>
      <c r="B10" s="6">
        <v>0.014900556556207334</v>
      </c>
    </row>
    <row r="11" spans="1:2" x14ac:dyDescent="0.25">
      <c r="A11" t="s">
        <v>9</v>
      </c>
      <c r="B11" s="6">
        <v>0.08476912474155755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0.1794758589800849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2.5</v>
      </c>
      <c r="C19" s="8" t="s">
        <v>19</v>
      </c>
    </row>
    <row r="20" spans="1:2" x14ac:dyDescent="0.25">
      <c r="A20" t="s">
        <v>20</v>
      </c>
      <c r="B20" s="10">
        <f>B17+B19*B18</f>
        <v>0.18748</v>
      </c>
    </row>
    <row r="21" spans="1:3" x14ac:dyDescent="0.25">
      <c r="A21" t="s">
        <v>21</v>
      </c>
      <c r="B21" s="6">
        <v>0.08731736837555114</v>
      </c>
      <c r="C21" s="8" t="s">
        <v>22</v>
      </c>
    </row>
    <row r="22" spans="1:2" x14ac:dyDescent="0.25">
      <c r="A22" t="s">
        <v>23</v>
      </c>
      <c r="B22" s="11">
        <v>72172077056</v>
      </c>
    </row>
    <row r="23" spans="1:2" x14ac:dyDescent="0.25">
      <c r="A23" t="s">
        <v>24</v>
      </c>
      <c r="B23" s="11">
        <v>5521000000</v>
      </c>
    </row>
    <row r="24" spans="1:2" x14ac:dyDescent="0.25">
      <c r="A24" t="s">
        <v>25</v>
      </c>
      <c r="B24" s="10">
        <f>B22/(B22+B23)</f>
        <v>0.9289383274648713</v>
      </c>
    </row>
    <row r="25" spans="1:2" x14ac:dyDescent="0.25">
      <c r="A25" t="s">
        <v>26</v>
      </c>
      <c r="B25" s="10">
        <f>1-B24</f>
        <v>0.07106167253512874</v>
      </c>
    </row>
    <row r="26" spans="1:2" x14ac:dyDescent="0.25">
      <c r="A26" t="s">
        <v>27</v>
      </c>
      <c r="B26" s="12">
        <f>B24*B20+B25*B21*(1-B8)</f>
        <v>0.1794758589800849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20322000000</v>
      </c>
      <c r="C29" s="8" t="s">
        <v>30</v>
      </c>
    </row>
    <row r="30" spans="1:2" x14ac:dyDescent="0.25">
      <c r="A30" t="s">
        <v>31</v>
      </c>
      <c r="B30" s="11">
        <v>2708000000</v>
      </c>
    </row>
    <row r="31" spans="1:2" x14ac:dyDescent="0.25">
      <c r="A31" t="s">
        <v>32</v>
      </c>
      <c r="B31" s="13">
        <v>1121385000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0.1431413679257303</v>
      </c>
      <c r="C5" s="10">
        <f>Assumptions!B6</f>
        <v>0.1431413679257303</v>
      </c>
      <c r="D5" s="10">
        <f>Assumptions!B6</f>
        <v>0.1431413679257303</v>
      </c>
      <c r="E5" s="10">
        <f>Assumptions!B6</f>
        <v>0.1431413679257303</v>
      </c>
      <c r="F5" s="10">
        <f>Assumptions!B6</f>
        <v>0.1431413679257303</v>
      </c>
    </row>
    <row r="6" spans="1:6" x14ac:dyDescent="0.25">
      <c r="A6" t="s">
        <v>43</v>
      </c>
      <c r="B6" s="18">
        <f>Assumptions!B29*(1+B5)</f>
        <v>23230918878.98669</v>
      </c>
      <c r="C6" s="18">
        <f>B6*(1+C5)</f>
        <v>26556224385.496517</v>
      </c>
      <c r="D6" s="18">
        <f>C6*(1+D5)</f>
        <v>30357518670.979126</v>
      </c>
      <c r="E6" s="18">
        <f>D6*(1+E5)</f>
        <v>34702935420.37398</v>
      </c>
      <c r="F6" s="18">
        <f>E6*(1+F5)</f>
        <v>39670361067.48459</v>
      </c>
    </row>
    <row r="7" spans="1:6" x14ac:dyDescent="0.25">
      <c r="A7" t="s">
        <v>5</v>
      </c>
      <c r="B7" s="10">
        <f>Assumptions!B7</f>
        <v>0.011745546982745506</v>
      </c>
      <c r="C7" s="10">
        <f>Assumptions!B7</f>
        <v>0.011745546982745506</v>
      </c>
      <c r="D7" s="10">
        <f>Assumptions!B7</f>
        <v>0.011745546982745506</v>
      </c>
      <c r="E7" s="10">
        <f>Assumptions!B7</f>
        <v>0.011745546982745506</v>
      </c>
      <c r="F7" s="10">
        <f>Assumptions!B7</f>
        <v>0.011745546982745506</v>
      </c>
    </row>
    <row r="8" spans="1:6" x14ac:dyDescent="0.25">
      <c r="A8" t="s">
        <v>44</v>
      </c>
      <c r="B8" s="18">
        <f>B6*B7</f>
        <v>272859849.1454877</v>
      </c>
      <c r="C8" s="18">
        <f>C6*C7</f>
        <v>311917381.20418125</v>
      </c>
      <c r="D8" s="18">
        <f>D6*D7</f>
        <v>356565661.8295592</v>
      </c>
      <c r="E8" s="18">
        <f>E6*E7</f>
        <v>407604958.4191857</v>
      </c>
      <c r="F8" s="18">
        <f>F6*F7</f>
        <v>465950089.7406184</v>
      </c>
    </row>
    <row r="9" spans="1:6" x14ac:dyDescent="0.25">
      <c r="A9" t="s">
        <v>45</v>
      </c>
      <c r="B9" s="18">
        <f>B8*(1-Assumptions!B8)</f>
        <v>233879870.69613236</v>
      </c>
      <c r="C9" s="18">
        <f>C8*(1-Assumptions!B8)</f>
        <v>267357755.31786966</v>
      </c>
      <c r="D9" s="18">
        <f>D8*(1-Assumptions!B8)</f>
        <v>305627710.1396222</v>
      </c>
      <c r="E9" s="18">
        <f>E8*(1-Assumptions!B8)</f>
        <v>349375678.6450163</v>
      </c>
      <c r="F9" s="18">
        <f>F8*(1-Assumptions!B8)</f>
        <v>399385791.20624435</v>
      </c>
    </row>
    <row r="10" spans="1:6" x14ac:dyDescent="0.25">
      <c r="A10" t="s">
        <v>46</v>
      </c>
      <c r="B10" s="18">
        <f>B6*Assumptions!B9</f>
        <v>509365469.23066115</v>
      </c>
      <c r="C10" s="18">
        <f>C6*Assumptions!B9</f>
        <v>582276739.2704694</v>
      </c>
      <c r="D10" s="18">
        <f>D6*Assumptions!B9</f>
        <v>665624628.2409782</v>
      </c>
      <c r="E10" s="18">
        <f>E6*Assumptions!B9</f>
        <v>760903048.0524476</v>
      </c>
      <c r="F10" s="18">
        <f>F6*Assumptions!B9</f>
        <v>869819751.2095326</v>
      </c>
    </row>
    <row r="11" spans="1:6" x14ac:dyDescent="0.25">
      <c r="A11" t="s">
        <v>47</v>
      </c>
      <c r="B11" s="18">
        <f>-B6*Assumptions!B10</f>
        <v>-346153620.60900587</v>
      </c>
      <c r="C11" s="18">
        <f>-C6*Assumptions!B10</f>
        <v>-395702523.3754232</v>
      </c>
      <c r="D11" s="18">
        <f>-D6*Assumptions!B10</f>
        <v>-452343923.86304456</v>
      </c>
      <c r="E11" s="18">
        <f>-E6*Assumptions!B10</f>
        <v>-517093051.8976932</v>
      </c>
      <c r="F11" s="18">
        <f>-F6*Assumptions!B10</f>
        <v>-591110458.6912197</v>
      </c>
    </row>
    <row r="12" spans="1:6" x14ac:dyDescent="0.25">
      <c r="A12" t="s">
        <v>48</v>
      </c>
      <c r="B12" s="18">
        <f>-(B6-Assumptions!B29)*Assumptions!B11</f>
        <v>-246586507.3158945</v>
      </c>
      <c r="C12" s="18">
        <f>-(C6-B6)*Assumptions!B11</f>
        <v>-281883237.2851197</v>
      </c>
      <c r="D12" s="18">
        <f>-(D6-C6)*Assumptions!B11</f>
        <v>-322232389.46544516</v>
      </c>
      <c r="E12" s="18">
        <f>-(E6-D6)*Assumptions!B11</f>
        <v>-368357174.4835057</v>
      </c>
      <c r="F12" s="18">
        <f>-(F6-E6)*Assumptions!B11</f>
        <v>-421084324.32433164</v>
      </c>
    </row>
    <row r="13" spans="1:6" x14ac:dyDescent="0.25">
      <c r="A13" s="19" t="s">
        <v>49</v>
      </c>
      <c r="B13" s="20">
        <f>B9+B10+B11+B12</f>
        <v>150505212.0018932</v>
      </c>
      <c r="C13" s="20">
        <f>C9+C10+C11+C12</f>
        <v>172048733.92779619</v>
      </c>
      <c r="D13" s="20">
        <f>D9+D10+D11+D12</f>
        <v>196676025.05211073</v>
      </c>
      <c r="E13" s="20">
        <f>E9+E10+E11+E12</f>
        <v>224828500.3162651</v>
      </c>
      <c r="F13" s="20">
        <f>F9+F10+F11+F12</f>
        <v>257010759.40022564</v>
      </c>
    </row>
    <row r="14" spans="1:6" x14ac:dyDescent="0.25">
      <c r="A14" t="s">
        <v>50</v>
      </c>
      <c r="B14" s="21">
        <f>1/(1+Assumptions!$B$26)^(1-0.5*Assumptions!$B$32)</f>
        <v>0.9207791398146689</v>
      </c>
      <c r="C14" s="21">
        <f>1/(1+Assumptions!$B$26)^(2-0.5*Assumptions!$B$32)</f>
        <v>0.780668067772819</v>
      </c>
      <c r="D14" s="21">
        <f>1/(1+Assumptions!$B$26)^(3-0.5*Assumptions!$B$32)</f>
        <v>0.661877105689876</v>
      </c>
      <c r="E14" s="21">
        <f>1/(1+Assumptions!$B$26)^(4-0.5*Assumptions!$B$32)</f>
        <v>0.561162062496314</v>
      </c>
      <c r="F14" s="21">
        <f>1/(1+Assumptions!$B$26)^(5-0.5*Assumptions!$B$32)</f>
        <v>0.47577240197316245</v>
      </c>
    </row>
    <row r="15" spans="1:6" x14ac:dyDescent="0.25">
      <c r="A15" s="19" t="s">
        <v>51</v>
      </c>
      <c r="B15" s="20">
        <f>B13*B14</f>
        <v>138582059.6447276</v>
      </c>
      <c r="C15" s="20">
        <f>C13*C14</f>
        <v>134312952.6781725</v>
      </c>
      <c r="D15" s="20">
        <f>D13*D14</f>
        <v>130175358.2200806</v>
      </c>
      <c r="E15" s="20">
        <f>E13*E14</f>
        <v>126165224.9454285</v>
      </c>
      <c r="F15" s="20">
        <f>F13*F14</f>
        <v>122278626.3327919</v>
      </c>
    </row>
    <row r="17" spans="1:2" x14ac:dyDescent="0.25">
      <c r="A17" s="22" t="s">
        <v>52</v>
      </c>
      <c r="B17" s="23">
        <f>SUM(B15:F15)</f>
        <v>651514221.8212011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257010759.40022564</v>
      </c>
    </row>
    <row r="5" spans="1:2" x14ac:dyDescent="0.25">
      <c r="A5" t="s">
        <v>56</v>
      </c>
      <c r="B5" s="18">
        <f>IF(Assumptions!$B$33=0,B4,B4-Forecast!F11-Forecast!F10-Forecast!F12)</f>
        <v>399385791.20624435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0.13929449978436412</v>
      </c>
    </row>
    <row r="7" spans="1:2" x14ac:dyDescent="0.25">
      <c r="A7" t="s">
        <v>58</v>
      </c>
      <c r="B7" s="18">
        <f>-MAX(Forecast!F9,0)*B6</f>
        <v>-55632244.007056296</v>
      </c>
    </row>
    <row r="8" spans="1:2" x14ac:dyDescent="0.25">
      <c r="A8" t="s">
        <v>59</v>
      </c>
      <c r="B8" s="18">
        <f>IF(OR(Assumptions!$B$33=0,Assumptions!B12&lt;=0),B5,MAX(B5+B7,0))</f>
        <v>343753547.19918805</v>
      </c>
    </row>
    <row r="9" spans="1:2" x14ac:dyDescent="0.25">
      <c r="A9" t="s">
        <v>60</v>
      </c>
      <c r="B9" s="18">
        <f>B8*(1+Assumptions!B12)/(Assumptions!B26-Assumptions!B12)</f>
        <v>2280922004.289308</v>
      </c>
    </row>
    <row r="10" spans="1:2" x14ac:dyDescent="0.25">
      <c r="A10" t="s">
        <v>61</v>
      </c>
      <c r="B10" s="18">
        <f>B9/(1+Assumptions!B26)^(5-0.5*Assumptions!B32)</f>
        <v>1085199740.694164</v>
      </c>
    </row>
    <row r="11" spans="1:2" x14ac:dyDescent="0.25">
      <c r="A11" t="s">
        <v>62</v>
      </c>
      <c r="B11" s="18">
        <f>Forecast!B17+B10</f>
        <v>1736713962.5153651</v>
      </c>
    </row>
    <row r="12" spans="1:2" x14ac:dyDescent="0.25">
      <c r="A12" t="s">
        <v>63</v>
      </c>
      <c r="B12" s="18">
        <f>-Assumptions!B30</f>
        <v>-2708000000</v>
      </c>
    </row>
    <row r="13" spans="1:2" x14ac:dyDescent="0.25">
      <c r="A13" t="s">
        <v>64</v>
      </c>
      <c r="B13" s="18">
        <f>B11+B12</f>
        <v>-971286037.4846349</v>
      </c>
    </row>
    <row r="14" spans="1:2" x14ac:dyDescent="0.25">
      <c r="A14" s="19" t="s">
        <v>65</v>
      </c>
      <c r="B14" s="24">
        <f>B13/Assumptions!B31</f>
        <v>-0.8661485907914185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1335769840.950151</v>
      </c>
    </row>
    <row r="18" spans="1:2" x14ac:dyDescent="0.25">
      <c r="A18" t="s">
        <v>60</v>
      </c>
      <c r="B18" s="18">
        <f>B17*Assumptions!B13</f>
        <v>26715396819.00302</v>
      </c>
    </row>
    <row r="19" spans="1:2" x14ac:dyDescent="0.25">
      <c r="A19" t="s">
        <v>61</v>
      </c>
      <c r="B19" s="18">
        <f>B18/(1+Assumptions!B26)^(5-0.5*Assumptions!B32)</f>
        <v>12710448514.243252</v>
      </c>
    </row>
    <row r="20" spans="1:2" x14ac:dyDescent="0.25">
      <c r="A20" t="s">
        <v>62</v>
      </c>
      <c r="B20" s="18">
        <f>Forecast!B17+B19</f>
        <v>13361962736.064453</v>
      </c>
    </row>
    <row r="21" spans="1:2" x14ac:dyDescent="0.25">
      <c r="A21" t="s">
        <v>63</v>
      </c>
      <c r="B21" s="18">
        <f>-Assumptions!B30</f>
        <v>-2708000000</v>
      </c>
    </row>
    <row r="22" spans="1:2" x14ac:dyDescent="0.25">
      <c r="A22" t="s">
        <v>64</v>
      </c>
      <c r="B22" s="18">
        <f>B20+B21</f>
        <v>10653962736.064453</v>
      </c>
    </row>
    <row r="23" spans="1:2" x14ac:dyDescent="0.25">
      <c r="A23" s="19" t="s">
        <v>65</v>
      </c>
      <c r="B23" s="25">
        <f>B22/Assumptions!B31</f>
        <v>9.500718072797882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65.11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-0.8661485907914185</v>
      </c>
    </row>
    <row r="29" spans="1:2" x14ac:dyDescent="0.25">
      <c r="A29" s="19" t="s">
        <v>73</v>
      </c>
      <c r="B29" s="12">
        <f>B28/B26-1</f>
        <v>-1.0133028504191586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0.159476</v>
      </c>
      <c r="B5" s="31">
        <v>-0.644228226686439</v>
      </c>
      <c r="C5" s="31">
        <v>-0.6384905694324098</v>
      </c>
      <c r="D5" s="31">
        <v>-0.6327529121783809</v>
      </c>
      <c r="E5" s="31">
        <v>-0.6270152549243515</v>
      </c>
      <c r="F5" s="31">
        <v>-0.6212775976703222</v>
      </c>
    </row>
    <row r="6" spans="1:6" x14ac:dyDescent="0.25">
      <c r="A6" s="30">
        <v>0.169476</v>
      </c>
      <c r="B6" s="31">
        <v>-0.7671824297321335</v>
      </c>
      <c r="C6" s="31">
        <v>-0.761987989479104</v>
      </c>
      <c r="D6" s="31">
        <v>-0.756793549226075</v>
      </c>
      <c r="E6" s="31">
        <v>-0.7515991089730455</v>
      </c>
      <c r="F6" s="31">
        <v>-0.7464046687200161</v>
      </c>
    </row>
    <row r="7" spans="1:6" x14ac:dyDescent="0.25">
      <c r="A7" s="30">
        <v>0.179476</v>
      </c>
      <c r="B7" s="31">
        <v>-0.875591312904672</v>
      </c>
      <c r="C7" s="31">
        <v>-0.8708706770265743</v>
      </c>
      <c r="D7" s="32">
        <v>-0.8661500411484769</v>
      </c>
      <c r="E7" s="31">
        <v>-0.8614294052703796</v>
      </c>
      <c r="F7" s="31">
        <v>-0.8567087693922822</v>
      </c>
    </row>
    <row r="8" spans="1:6" x14ac:dyDescent="0.25">
      <c r="A8" s="30">
        <v>0.189476</v>
      </c>
      <c r="B8" s="31">
        <v>-0.9717989412565194</v>
      </c>
      <c r="C8" s="31">
        <v>-0.9674941401834198</v>
      </c>
      <c r="D8" s="31">
        <v>-0.9631893391103208</v>
      </c>
      <c r="E8" s="31">
        <v>-0.9588845380372211</v>
      </c>
      <c r="F8" s="31">
        <v>-0.9545797369641218</v>
      </c>
    </row>
    <row r="9" spans="1:6" x14ac:dyDescent="0.25">
      <c r="A9" s="30">
        <v>0.199476</v>
      </c>
      <c r="B9" s="31">
        <v>-1.0576770120195402</v>
      </c>
      <c r="C9" s="31">
        <v>-1.0537391981093756</v>
      </c>
      <c r="D9" s="31">
        <v>-1.0498013841992113</v>
      </c>
      <c r="E9" s="31">
        <v>-1.0458635702890466</v>
      </c>
      <c r="F9" s="31">
        <v>-1.0419257563788824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20322000000</v>
      </c>
      <c r="C5" s="18">
        <v>13673000000</v>
      </c>
      <c r="D5" s="18">
        <v>10771000000</v>
      </c>
      <c r="E5" s="18">
        <v>13604000000</v>
      </c>
      <c r="F5" s="8" t="s">
        <v>84</v>
      </c>
    </row>
    <row r="6" spans="1:6" x14ac:dyDescent="0.25">
      <c r="A6" t="s">
        <v>44</v>
      </c>
      <c r="B6" s="18">
        <v>1881000000</v>
      </c>
      <c r="C6" s="18">
        <v>990000000</v>
      </c>
      <c r="D6" s="18">
        <v>-80000000</v>
      </c>
      <c r="E6" s="18">
        <v>-1504000000</v>
      </c>
      <c r="F6" s="8" t="s">
        <v>85</v>
      </c>
    </row>
    <row r="7" spans="1:6" x14ac:dyDescent="0.25">
      <c r="A7" t="s">
        <v>86</v>
      </c>
      <c r="B7" s="18">
        <v>275000000</v>
      </c>
      <c r="C7" s="18">
        <v>305000000</v>
      </c>
      <c r="D7" s="18">
        <v>352000000</v>
      </c>
      <c r="E7" s="18">
        <v>261000000</v>
      </c>
      <c r="F7" s="8" t="s">
        <v>87</v>
      </c>
    </row>
    <row r="8" spans="1:6" x14ac:dyDescent="0.25">
      <c r="A8" t="s">
        <v>88</v>
      </c>
      <c r="B8" s="18">
        <v>147000000</v>
      </c>
      <c r="C8" s="18">
        <v>91000000</v>
      </c>
      <c r="D8" s="18">
        <v>87000000</v>
      </c>
      <c r="E8" s="18">
        <v>512000000</v>
      </c>
      <c r="F8" s="8" t="s">
        <v>89</v>
      </c>
    </row>
    <row r="9" spans="1:6" x14ac:dyDescent="0.25">
      <c r="A9" t="s">
        <v>90</v>
      </c>
      <c r="B9" s="18">
        <v>480000000</v>
      </c>
      <c r="C9" s="18">
        <v>246000000</v>
      </c>
      <c r="D9" s="18">
        <v>-554000000</v>
      </c>
      <c r="E9" s="18">
        <v>-1393000000</v>
      </c>
      <c r="F9" s="8" t="s">
        <v>91</v>
      </c>
    </row>
    <row r="10" spans="1:6" x14ac:dyDescent="0.25">
      <c r="A10" t="s">
        <v>92</v>
      </c>
      <c r="B10" s="18">
        <v>5521000000</v>
      </c>
      <c r="C10" s="18">
        <v>6046000000</v>
      </c>
      <c r="D10" s="18">
        <v>6706000000</v>
      </c>
      <c r="E10" s="18">
        <v>8816000000</v>
      </c>
      <c r="F10" s="8" t="s">
        <v>93</v>
      </c>
    </row>
    <row r="11" spans="1:6" x14ac:dyDescent="0.25">
      <c r="A11" t="s">
        <v>94</v>
      </c>
      <c r="B11" s="18">
        <v>2813000000</v>
      </c>
      <c r="C11" s="18">
        <v>2180000000</v>
      </c>
      <c r="D11" s="18">
        <v>896000000</v>
      </c>
      <c r="E11" s="18">
        <v>755000000</v>
      </c>
      <c r="F11" s="8" t="s">
        <v>95</v>
      </c>
    </row>
    <row r="12" spans="1:6" x14ac:dyDescent="0.25">
      <c r="A12" t="s">
        <v>32</v>
      </c>
      <c r="B12" s="34">
        <v>1121385000</v>
      </c>
      <c r="C12" s="34">
        <v>661030000</v>
      </c>
      <c r="D12" s="34">
        <v>1002890000</v>
      </c>
      <c r="E12" s="34">
        <v>504140000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2026-09-19T01:04:54Z</dcterms:modified>
</cp:coreProperties>
</file>