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<sst xmlns="http://schemas.openxmlformats.org/spreadsheetml/2006/main" count="120" uniqueCount="107">
  <si>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CVS Health Corporation (CVS)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</si>
  <si>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</si>
  <si>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</si>
  <si>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</si>
  <si>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</si>
  <si>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</si>
  <si>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</si>
  <si>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</si>
  <si>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</si>
  <si>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</si>
  <si>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</si>
  <si>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</si>
  <si>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</si>
  <si>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</si>
  <si>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</si>
  <si>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</si>
  <si>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</si>
  <si>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</si>
  <si>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</si>
  <si>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</si>
  <si>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</si>
  <si>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</si>
  <si>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</si>
  <si>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</si>
  <si>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3.3x interest cover. Book interest / average debt was lower, at 3.8%.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</si>
  <si>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</si>
  <si>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</si>
  <si>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</si>
  <si>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</si>
  <si>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</si>
  <si>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</si>
  <si>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</si>
  <si>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</si>
  <si>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</si>
  <si>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</si>
  <si>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</si>
  <si>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</si>
  <si>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</si>
  <si>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</si>
  <si>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</si>
  <si>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</si>
  <si>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</si>
  <si>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</si>
  <si>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</si>
  <si>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</si>
  <si>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</si>
  <si>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</si>
  <si>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</si>
  <si>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</si>
  <si>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</si>
  <si>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</si>
  <si>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</si>
  <si>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</si>
  <si>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</si>
  <si>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</si>
  <si>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</si>
  <si>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</si>
  <si>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</si>
  <si>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</si>
  <si>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</si>
  <si>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</si>
  <si>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</si>
  <si>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</si>
  <si>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</si>
  <si>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</si>
  <si>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</si>
  <si>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</si>
  <si>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</si>
  <si>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</si>
  <si>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</si>
  <si>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</si>
  <si>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</si>
  <si>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</si>
  <si>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</si>
  <si>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</si>
  <si>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</si>
  <si>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</si>
  <si>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</si>
  <si>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</si>
  <si>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</si>
  <si>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</si>
  <si>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</si>
  <si>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</si>
  <si>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</si>
  <si>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</si>
  <si>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</si>
  <si>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</si>
  <si>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</si>
  <si>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</si>
  <si>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</si>
  <si>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</si>
  <si>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</si>
  <si>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</si>
  <si>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</si>
  <si>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</si>
  <si>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</si>
  <si>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</si>
  <si>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</si>
  <si>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</si>
  <si>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</si>
  <si>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</si>
  <si>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</si>
  <si>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</si>
  <si>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</si>
  <si>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</si>
  <si>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0.79% of revenue, which is too low to be the company's real investment - property trusts and similar structures invest through lines that are not reported as capex. Capex has been set to 1.23%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</si>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</sst>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0.039310947354545434</v>
      </c>
    </row>
    <row r="7" spans="1:2" x14ac:dyDescent="0.25">
      <c r="A7" t="s">
        <v>4</v>
      </c>
      <c r="B7" s="5">
        <v>0.03578899004571618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0.012272173513117407</v>
      </c>
    </row>
    <row r="10" spans="1:3" x14ac:dyDescent="0.25">
      <c r="A10" t="s">
        <v>7</v>
      </c>
      <c r="B10" s="5">
        <v>0.012272173513117407</v>
      </c>
      <c r="C10" s="6" t="s">
        <v>8</v>
      </c>
    </row>
    <row r="11" spans="1:2" x14ac:dyDescent="0.25">
      <c r="A11" t="s">
        <v>9</v>
      </c>
      <c r="B11" s="5">
        <v>0.047238597964923926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12.326000536855446</v>
      </c>
    </row>
    <row r="14" spans="1:3" x14ac:dyDescent="0.25">
      <c r="A14" t="s">
        <v>12</v>
      </c>
      <c r="B14" s="5">
        <v>0.07111131681421426</v>
      </c>
      <c r="C14" s="6" t="s">
        <v>13</v>
      </c>
    </row>
    <row r="15" spans="1:3" x14ac:dyDescent="0.25">
      <c r="A15" t="s">
        <v>14</v>
      </c>
      <c r="B15" s="5">
        <v>0.012272173513117407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0.72932</v>
      </c>
      <c r="C19" s="6" t="s">
        <v>21</v>
      </c>
    </row>
    <row r="20" spans="1:2" x14ac:dyDescent="0.25">
      <c r="A20" t="s">
        <v>22</v>
      </c>
      <c r="B20" s="9">
        <f>B17+B19*B18</f>
        <v>0.079790236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115427074048</v>
      </c>
    </row>
    <row r="23" spans="1:2" x14ac:dyDescent="0.25">
      <c r="A23" t="s">
        <v>26</v>
      </c>
      <c r="B23" s="10">
        <v>79950000000</v>
      </c>
    </row>
    <row r="24" spans="1:2" x14ac:dyDescent="0.25">
      <c r="A24" t="s">
        <v>27</v>
      </c>
      <c r="B24" s="9">
        <f>B22/(B22+B23)</f>
        <v>0.5907912922252179</v>
      </c>
    </row>
    <row r="25" spans="1:2" x14ac:dyDescent="0.25">
      <c r="A25" t="s">
        <v>28</v>
      </c>
      <c r="B25" s="9">
        <f>1-B24</f>
        <v>0.40920870777478213</v>
      </c>
    </row>
    <row r="26" spans="1:2" x14ac:dyDescent="0.25">
      <c r="A26" t="s">
        <v>29</v>
      </c>
      <c r="B26" s="11">
        <f>B24*B20+B25*B21*(1-B8)</f>
        <v>0.06583759564297288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402067000000</v>
      </c>
      <c r="C29" s="6" t="s">
        <v>32</v>
      </c>
    </row>
    <row r="30" spans="1:2" x14ac:dyDescent="0.25">
      <c r="A30" t="s">
        <v>33</v>
      </c>
      <c r="B30" s="10">
        <v>69352000000</v>
      </c>
    </row>
    <row r="31" spans="1:2" x14ac:dyDescent="0.25">
      <c r="A31" t="s">
        <v>34</v>
      </c>
      <c r="B31" s="12">
        <v>1271000000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0.039310947354545434</v>
      </c>
      <c r="C5" s="5">
        <v>0.029217191045883384</v>
      </c>
      <c r="D5" s="5">
        <v>0.02869004216514796</v>
      </c>
      <c r="E5" s="5">
        <v>0.028162893284412537</v>
      </c>
      <c r="F5" s="5">
        <v>0.027635744403677116</v>
      </c>
      <c r="G5" s="5">
        <v>0.027108595522941693</v>
      </c>
      <c r="H5" s="5">
        <v>0.02658144664220627</v>
      </c>
      <c r="I5" s="5">
        <v>0.02605429776147085</v>
      </c>
      <c r="J5" s="5">
        <v>0.025527148880735425</v>
      </c>
      <c r="K5" s="5">
        <v>0.025</v>
      </c>
    </row>
    <row r="6" spans="1:11" x14ac:dyDescent="0.25">
      <c r="A6" t="s">
        <v>50</v>
      </c>
      <c r="B6" s="18">
        <f>Assumptions!B29*(1+B5)</f>
        <v>417872634670</v>
      </c>
      <c r="C6" s="18">
        <f>B6*(1+C5)</f>
        <v>430081699270</v>
      </c>
      <c r="D6" s="18">
        <f>C6*(1+D5)</f>
        <v>442420761356.5148</v>
      </c>
      <c r="E6" s="18">
        <f>D6*(1+E5)</f>
        <v>454880610045.4068</v>
      </c>
      <c r="F6" s="18">
        <f>E6*(1+F5)</f>
        <v>467451574318.8104</v>
      </c>
      <c r="G6" s="18">
        <f>F6*(1+G5)</f>
        <v>480123529973.5814</v>
      </c>
      <c r="H6" s="18">
        <f>G6*(1+H5)</f>
        <v>492885907967.2419</v>
      </c>
      <c r="I6" s="18">
        <f>H6*(1+I5)</f>
        <v>505727704175.85333</v>
      </c>
      <c r="J6" s="18">
        <f>I6*(1+J5)</f>
        <v>518637490573.4628</v>
      </c>
      <c r="K6" s="18">
        <f>J6*(1+K5)</f>
        <v>531603427837.7994</v>
      </c>
    </row>
    <row r="7" spans="1:11" x14ac:dyDescent="0.25">
      <c r="A7" t="s">
        <v>4</v>
      </c>
      <c r="B7" s="9">
        <f>Assumptions!B7</f>
        <v>0.03578899004571618</v>
      </c>
      <c r="C7" s="9">
        <f>Assumptions!B7</f>
        <v>0.03578899004571618</v>
      </c>
      <c r="D7" s="9">
        <f>Assumptions!B7</f>
        <v>0.03578899004571618</v>
      </c>
      <c r="E7" s="9">
        <f>Assumptions!B7</f>
        <v>0.03578899004571618</v>
      </c>
      <c r="F7" s="9">
        <f>Assumptions!B7</f>
        <v>0.03578899004571618</v>
      </c>
      <c r="G7" s="9">
        <f>Assumptions!B7</f>
        <v>0.03578899004571618</v>
      </c>
      <c r="H7" s="9">
        <f>Assumptions!B7</f>
        <v>0.03578899004571618</v>
      </c>
      <c r="I7" s="9">
        <f>Assumptions!B7</f>
        <v>0.03578899004571618</v>
      </c>
      <c r="J7" s="9">
        <f>Assumptions!B7</f>
        <v>0.03578899004571618</v>
      </c>
      <c r="K7" s="9">
        <f>Assumptions!B7</f>
        <v>0.03578899004571618</v>
      </c>
    </row>
    <row r="8" spans="1:11" x14ac:dyDescent="0.25">
      <c r="A8" t="s">
        <v>51</v>
      </c>
      <c r="B8" s="18">
        <f>B6*B7</f>
        <v>14955239562.581823</v>
      </c>
      <c r="C8" s="18">
        <f>C6*C7</f>
        <v>15392189654.01873</v>
      </c>
      <c r="D8" s="18">
        <f>D6*D7</f>
        <v>15833792224.20648</v>
      </c>
      <c r="E8" s="18">
        <f>E6*E7</f>
        <v>16279717624.904367</v>
      </c>
      <c r="F8" s="18">
        <f>F6*F7</f>
        <v>16729619740.150263</v>
      </c>
      <c r="G8" s="18">
        <f>G6*G7</f>
        <v>17183136234.93862</v>
      </c>
      <c r="H8" s="18">
        <f>H6*H7</f>
        <v>17639888853.913403</v>
      </c>
      <c r="I8" s="18">
        <f>I6*I7</f>
        <v>18099483770.592514</v>
      </c>
      <c r="J8" s="18">
        <f>J6*J7</f>
        <v>18561511987.46888</v>
      </c>
      <c r="K8" s="18">
        <f>K6*K7</f>
        <v>19025549787.1556</v>
      </c>
    </row>
    <row r="9" spans="1:11" x14ac:dyDescent="0.25">
      <c r="A9" t="s">
        <v>52</v>
      </c>
      <c r="B9" s="18">
        <f>B8*(1-Assumptions!B8)</f>
        <v>11814639254.43964</v>
      </c>
      <c r="C9" s="18">
        <f>C8*(1-Assumptions!B8)</f>
        <v>12159829826.674797</v>
      </c>
      <c r="D9" s="18">
        <f>D8*(1-Assumptions!B8)</f>
        <v>12508695857.12312</v>
      </c>
      <c r="E9" s="18">
        <f>E8*(1-Assumptions!B8)</f>
        <v>12860976923.67445</v>
      </c>
      <c r="F9" s="18">
        <f>F8*(1-Assumptions!B8)</f>
        <v>13216399594.718708</v>
      </c>
      <c r="G9" s="18">
        <f>G8*(1-Assumptions!B8)</f>
        <v>13574677625.601511</v>
      </c>
      <c r="H9" s="18">
        <f>H8*(1-Assumptions!B8)</f>
        <v>13935512194.591589</v>
      </c>
      <c r="I9" s="18">
        <f>I8*(1-Assumptions!B8)</f>
        <v>14298592178.768087</v>
      </c>
      <c r="J9" s="18">
        <f>J8*(1-Assumptions!B8)</f>
        <v>14663594470.100416</v>
      </c>
      <c r="K9" s="18">
        <f>K8*(1-Assumptions!B8)</f>
        <v>15030184331.852926</v>
      </c>
    </row>
    <row r="10" spans="1:11" x14ac:dyDescent="0.25">
      <c r="A10" t="s">
        <v>53</v>
      </c>
      <c r="B10" s="18">
        <f>B6*Assumptions!B9</f>
        <v>5128205479.053761</v>
      </c>
      <c r="C10" s="18">
        <f>C6*Assumptions!B9</f>
        <v>5278037238.25782</v>
      </c>
      <c r="D10" s="18">
        <f>D6*Assumptions!B9</f>
        <v>5429464349.172658</v>
      </c>
      <c r="E10" s="18">
        <f>E6*Assumptions!B9</f>
        <v>5582373774.229929</v>
      </c>
      <c r="F10" s="18">
        <f>F6*Assumptions!B9</f>
        <v>5736646829.020338</v>
      </c>
      <c r="G10" s="18">
        <f>G6*Assumptions!B9</f>
        <v>5892159267.566217</v>
      </c>
      <c r="H10" s="18">
        <f>H6*Assumptions!B9</f>
        <v>6048781384.74441</v>
      </c>
      <c r="I10" s="18">
        <f>I6*Assumptions!B9</f>
        <v>6206378136.036583</v>
      </c>
      <c r="J10" s="18">
        <f>J6*Assumptions!B9</f>
        <v>6364809274.725329</v>
      </c>
      <c r="K10" s="18">
        <f>K6*Assumptions!B9</f>
        <v>6523929506.593462</v>
      </c>
    </row>
    <row r="11" spans="1:11" x14ac:dyDescent="0.25">
      <c r="A11" t="s">
        <v>54</v>
      </c>
      <c r="B11" s="18">
        <f>-B6*B19</f>
        <v>-5128205479.053761</v>
      </c>
      <c r="C11" s="18">
        <f>-C6*C19</f>
        <v>-5753029216.853062</v>
      </c>
      <c r="D11" s="18">
        <f>-D6*D19</f>
        <v>-6406703386.151149</v>
      </c>
      <c r="E11" s="18">
        <f>-E6*E19</f>
        <v>-7089515147.765347</v>
      </c>
      <c r="F11" s="18">
        <f>-F6*F19</f>
        <v>-7801703292.106538</v>
      </c>
      <c r="G11" s="18">
        <f>-G6*G19</f>
        <v>-8543455821.911267</v>
      </c>
      <c r="H11" s="18">
        <f>-H6*H19</f>
        <v>-9314907607.428854</v>
      </c>
      <c r="I11" s="18">
        <f>-I6*I19</f>
        <v>-10116138125.156199</v>
      </c>
      <c r="J11" s="18">
        <f>-J6*J19</f>
        <v>-10947169291.239403</v>
      </c>
      <c r="K11" s="18">
        <f>-K6*K19</f>
        <v>-11807963400.636253</v>
      </c>
    </row>
    <row r="12" spans="1:11" x14ac:dyDescent="0.25">
      <c r="A12" t="s">
        <v>55</v>
      </c>
      <c r="B12" s="18">
        <f>-(B6-Assumptions!B29)*Assumptions!B11</f>
        <v>-746636021.756593</v>
      </c>
      <c r="C12" s="18">
        <f>-(C6-B6)*Assumptions!B11</f>
        <v>-576739094.1671847</v>
      </c>
      <c r="D12" s="18">
        <f>-(D6-C6)*Assumptions!B11</f>
        <v>-582879993.1691066</v>
      </c>
      <c r="E12" s="18">
        <f>-(E6-D6)*Assumptions!B11</f>
        <v>-588585782.918355</v>
      </c>
      <c r="F12" s="18">
        <f>-(F6-E6)*Assumptions!B11</f>
        <v>-593834727.3427359</v>
      </c>
      <c r="G12" s="18">
        <f>-(G6-F6)*Assumptions!B11</f>
        <v>-598605418.6050714</v>
      </c>
      <c r="H12" s="18">
        <f>-(H6-G6)*Assumptions!B11</f>
        <v>-602876843.118919</v>
      </c>
      <c r="I12" s="18">
        <f>-(I6-H6)*Assumptions!B11</f>
        <v>-606628448.2460806</v>
      </c>
      <c r="J12" s="18">
        <f>-(J6-I6)*Assumptions!B11</f>
        <v>-609840209.4497186</v>
      </c>
      <c r="K12" s="18">
        <f>-(K6-J6)*Assumptions!B11</f>
        <v>-612492697.6684197</v>
      </c>
    </row>
    <row r="13" spans="1:11" x14ac:dyDescent="0.25">
      <c r="A13" s="19" t="s">
        <v>56</v>
      </c>
      <c r="B13" s="20">
        <f>B9+B10+B11+B12</f>
        <v>11068003232.683046</v>
      </c>
      <c r="C13" s="20">
        <f>C9+C10+C11+C12</f>
        <v>11108098753.91237</v>
      </c>
      <c r="D13" s="20">
        <f>D9+D10+D11+D12</f>
        <v>10948576826.97552</v>
      </c>
      <c r="E13" s="20">
        <f>E9+E10+E11+E12</f>
        <v>10765249767.22068</v>
      </c>
      <c r="F13" s="20">
        <f>F9+F10+F11+F12</f>
        <v>10557508404.289772</v>
      </c>
      <c r="G13" s="20">
        <f>G9+G10+G11+G12</f>
        <v>10324775652.65139</v>
      </c>
      <c r="H13" s="20">
        <f>H9+H10+H11+H12</f>
        <v>10066509128.788225</v>
      </c>
      <c r="I13" s="20">
        <f>I9+I10+I11+I12</f>
        <v>9782203741.402393</v>
      </c>
      <c r="J13" s="20">
        <f>J9+J10+J11+J12</f>
        <v>9471394244.136623</v>
      </c>
      <c r="K13" s="20">
        <f>K9+K10+K11+K12</f>
        <v>9133657740.141716</v>
      </c>
    </row>
    <row r="14" spans="1:11" x14ac:dyDescent="0.25">
      <c r="A14" t="s">
        <v>57</v>
      </c>
      <c r="B14" s="21">
        <f>1/(1+Assumptions!$B$26)^(1-0.5*Assumptions!$B$32)</f>
        <v>0.9686223425624347</v>
      </c>
      <c r="C14" s="21">
        <f>1/(1+Assumptions!$B$26)^(2-0.5*Assumptions!$B$32)</f>
        <v>0.9087898067417182</v>
      </c>
      <c r="D14" s="21">
        <f>1/(1+Assumptions!$B$26)^(3-0.5*Assumptions!$B$32)</f>
        <v>0.8526531719811266</v>
      </c>
      <c r="E14" s="21">
        <f>1/(1+Assumptions!$B$26)^(4-0.5*Assumptions!$B$32)</f>
        <v>0.7999841396725722</v>
      </c>
      <c r="F14" s="21">
        <f>1/(1+Assumptions!$B$26)^(5-0.5*Assumptions!$B$32)</f>
        <v>0.7505685133859226</v>
      </c>
      <c r="G14" s="21">
        <f>1/(1+Assumptions!$B$26)^(6-0.5*Assumptions!$B$32)</f>
        <v>0.7042053277667858</v>
      </c>
      <c r="H14" s="21">
        <f>1/(1+Assumptions!$B$26)^(7-0.5*Assumptions!$B$32)</f>
        <v>0.6607060312429397</v>
      </c>
      <c r="I14" s="21">
        <f>1/(1+Assumptions!$B$26)^(8-0.5*Assumptions!$B$32)</f>
        <v>0.6198937192156042</v>
      </c>
      <c r="J14" s="21">
        <f>1/(1+Assumptions!$B$26)^(9-0.5*Assumptions!$B$32)</f>
        <v>0.581602414617069</v>
      </c>
      <c r="K14" s="21">
        <f>1/(1+Assumptions!$B$26)^(10-0.5*Assumptions!$B$32)</f>
        <v>0.545676392908822</v>
      </c>
    </row>
    <row r="15" spans="1:11" x14ac:dyDescent="0.25">
      <c r="A15" s="19" t="s">
        <v>58</v>
      </c>
      <c r="B15" s="20">
        <f>B13*B14</f>
        <v>10720715218.730053</v>
      </c>
      <c r="C15" s="20">
        <f>C13*C14</f>
        <v>10094926919.835943</v>
      </c>
      <c r="D15" s="20">
        <f>D13*D14</f>
        <v>9335338760.199734</v>
      </c>
      <c r="E15" s="20">
        <f>E13*E14</f>
        <v>8612029073.390394</v>
      </c>
      <c r="F15" s="20">
        <f>F13*F14</f>
        <v>7924133388.067158</v>
      </c>
      <c r="G15" s="20">
        <f>G13*G14</f>
        <v>7270762022.593902</v>
      </c>
      <c r="H15" s="20">
        <f>H13*H14</f>
        <v>6651003294.952491</v>
      </c>
      <c r="I15" s="20">
        <f>I13*I14</f>
        <v>6063926659.382729</v>
      </c>
      <c r="J15" s="20">
        <f>J13*J14</f>
        <v>5508585762.180069</v>
      </c>
      <c r="K15" s="20">
        <f>K13*K14</f>
        <v>4984021409.704274</v>
      </c>
    </row>
    <row r="17" spans="1:2" x14ac:dyDescent="0.25">
      <c r="A17" s="22" t="s">
        <v>59</v>
      </c>
      <c r="B17" s="23">
        <f>SUM(B15:K15)</f>
        <v>77165442509.03674</v>
      </c>
    </row>
    <row r="19" spans="1:11" x14ac:dyDescent="0.25">
      <c r="A19" t="s">
        <v>7</v>
      </c>
      <c r="B19" s="9">
        <f>Assumptions!$B$10+($B$20-Assumptions!$B$10)*0/9</f>
        <v>0.012272173513117407</v>
      </c>
      <c r="C19" s="9">
        <f>Assumptions!$B$10+($B$20-Assumptions!$B$10)*1/9</f>
        <v>0.013376596183046097</v>
      </c>
      <c r="D19" s="9">
        <f>Assumptions!$B$10+($B$20-Assumptions!$B$10)*2/9</f>
        <v>0.014481018852974786</v>
      </c>
      <c r="E19" s="9">
        <f>Assumptions!$B$10+($B$20-Assumptions!$B$10)*3/9</f>
        <v>0.015585441522903474</v>
      </c>
      <c r="F19" s="9">
        <f>Assumptions!$B$10+($B$20-Assumptions!$B$10)*4/9</f>
        <v>0.016689864192832166</v>
      </c>
      <c r="G19" s="9">
        <f>Assumptions!$B$10+($B$20-Assumptions!$B$10)*5/9</f>
        <v>0.017794286862760855</v>
      </c>
      <c r="H19" s="9">
        <f>Assumptions!$B$10+($B$20-Assumptions!$B$10)*6/9</f>
        <v>0.01889870953268954</v>
      </c>
      <c r="I19" s="9">
        <f>Assumptions!$B$10+($B$20-Assumptions!$B$10)*7/9</f>
        <v>0.02000313220261823</v>
      </c>
      <c r="J19" s="9">
        <f>Assumptions!$B$10+($B$20-Assumptions!$B$10)*8/9</f>
        <v>0.02110755487254692</v>
      </c>
      <c r="K19" s="9">
        <f>Assumptions!$B$10+($B$20-Assumptions!$B$10)*9/9</f>
        <v>0.02221197754247561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0.02221197754247561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9133657740.141716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15030184331.852926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0.3515614830381374</v>
      </c>
    </row>
    <row r="7" spans="1:2" x14ac:dyDescent="0.25">
      <c r="A7" t="s">
        <v>66</v>
      </c>
      <c r="B7" s="18">
        <f>-MAX(B5,0)*B6</f>
        <v>-5284033894.042791</v>
      </c>
    </row>
    <row r="8" spans="1:2" x14ac:dyDescent="0.25">
      <c r="A8" t="s">
        <v>67</v>
      </c>
      <c r="B8" s="18">
        <f>IF(OR(Assumptions!$B$33=0,Assumptions!B12&lt;=0),B5,MAX(B5+B7,0))</f>
        <v>9746150437.810135</v>
      </c>
    </row>
    <row r="9" spans="1:2" x14ac:dyDescent="0.25">
      <c r="A9" t="s">
        <v>68</v>
      </c>
      <c r="B9" s="18">
        <f>B8*(1+Assumptions!B12)/(Assumptions!B26-Assumptions!B12)</f>
        <v>244622731614.57245</v>
      </c>
    </row>
    <row r="10" spans="1:2" x14ac:dyDescent="0.25">
      <c r="A10" t="s">
        <v>69</v>
      </c>
      <c r="B10" s="18">
        <f>B9/(1+Assumptions!B26)^(10-0.5*Assumptions!B32)</f>
        <v>133484849810.94275</v>
      </c>
    </row>
    <row r="11" spans="1:2" x14ac:dyDescent="0.25">
      <c r="A11" t="s">
        <v>70</v>
      </c>
      <c r="B11" s="18">
        <f>Forecast!B17+B10</f>
        <v>210650292319.9795</v>
      </c>
    </row>
    <row r="12" spans="1:2" x14ac:dyDescent="0.25">
      <c r="A12" t="s">
        <v>71</v>
      </c>
      <c r="B12" s="18">
        <f>-Assumptions!B30</f>
        <v>-69352000000</v>
      </c>
    </row>
    <row r="13" spans="1:2" x14ac:dyDescent="0.25">
      <c r="A13" t="s">
        <v>72</v>
      </c>
      <c r="B13" s="18">
        <f>B11+B12</f>
        <v>141298292319.9795</v>
      </c>
    </row>
    <row r="14" spans="1:2" x14ac:dyDescent="0.25">
      <c r="A14" s="19" t="s">
        <v>73</v>
      </c>
      <c r="B14" s="24">
        <f>B13/Assumptions!B31</f>
        <v>111.17096169943312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25549479293.74906</v>
      </c>
    </row>
    <row r="18" spans="1:2" x14ac:dyDescent="0.25">
      <c r="A18" t="s">
        <v>68</v>
      </c>
      <c r="B18" s="18">
        <f>B17*Assumptions!B13</f>
        <v>314922895491.12805</v>
      </c>
    </row>
    <row r="19" spans="1:2" x14ac:dyDescent="0.25">
      <c r="A19" t="s">
        <v>69</v>
      </c>
      <c r="B19" s="18">
        <f>B18/(1+Assumptions!B26)^(10-0.5*Assumptions!B32)</f>
        <v>171845989656.00067</v>
      </c>
    </row>
    <row r="20" spans="1:2" x14ac:dyDescent="0.25">
      <c r="A20" t="s">
        <v>70</v>
      </c>
      <c r="B20" s="18">
        <f>Forecast!B17+B19</f>
        <v>249011432165.0374</v>
      </c>
    </row>
    <row r="21" spans="1:2" x14ac:dyDescent="0.25">
      <c r="A21" t="s">
        <v>71</v>
      </c>
      <c r="B21" s="18">
        <f>-Assumptions!B30</f>
        <v>-69352000000</v>
      </c>
    </row>
    <row r="22" spans="1:2" x14ac:dyDescent="0.25">
      <c r="A22" t="s">
        <v>72</v>
      </c>
      <c r="B22" s="18">
        <f>B20+B21</f>
        <v>179659432165.0374</v>
      </c>
    </row>
    <row r="23" spans="1:2" x14ac:dyDescent="0.25">
      <c r="A23" s="19" t="s">
        <v>73</v>
      </c>
      <c r="B23" s="25">
        <f>B22/Assumptions!B31</f>
        <v>141.3528183831923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90.25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111.17096169943312</v>
      </c>
    </row>
    <row r="29" spans="1:2" x14ac:dyDescent="0.25">
      <c r="A29" s="19" t="s">
        <v>81</v>
      </c>
      <c r="B29" s="11">
        <f>B28/B26-1</f>
        <v>0.2318112099660179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0.045838</v>
      </c>
      <c r="B5" s="31">
        <v>217.7580006967931</v>
      </c>
      <c r="C5" s="31">
        <v>233.45851445253146</v>
      </c>
      <c r="D5" s="31">
        <v>257.8059911868362</v>
      </c>
      <c r="E5" s="31">
        <v>298.98987683217945</v>
      </c>
      <c r="F5" s="31">
        <v>380.31208444129953</v>
      </c>
    </row>
    <row r="6" spans="1:6" x14ac:dyDescent="0.25">
      <c r="A6" s="30">
        <v>0.055838</v>
      </c>
      <c r="B6" s="31">
        <v>152.46141645130712</v>
      </c>
      <c r="C6" s="31">
        <v>155.741228573568</v>
      </c>
      <c r="D6" s="31">
        <v>160.79405408433564</v>
      </c>
      <c r="E6" s="31">
        <v>168.64919868945424</v>
      </c>
      <c r="F6" s="31">
        <v>181.32388028004888</v>
      </c>
    </row>
    <row r="7" spans="1:6" x14ac:dyDescent="0.25">
      <c r="A7" s="30">
        <v>0.065838</v>
      </c>
      <c r="B7" s="31">
        <v>112.84636701957226</v>
      </c>
      <c r="C7" s="31">
        <v>111.87392240138493</v>
      </c>
      <c r="D7" s="32">
        <v>111.16944404782015</v>
      </c>
      <c r="E7" s="31">
        <v>110.8450892770693</v>
      </c>
      <c r="F7" s="31">
        <v>111.08575509095499</v>
      </c>
    </row>
    <row r="8" spans="1:6" x14ac:dyDescent="0.25">
      <c r="A8" s="30">
        <v>0.075838</v>
      </c>
      <c r="B8" s="31">
        <v>87.98636031811057</v>
      </c>
      <c r="C8" s="31">
        <v>86.15400436142578</v>
      </c>
      <c r="D8" s="31">
        <v>84.32164840474098</v>
      </c>
      <c r="E8" s="31">
        <v>82.48929244805615</v>
      </c>
      <c r="F8" s="31">
        <v>80.65693649137133</v>
      </c>
    </row>
    <row r="9" spans="1:6" x14ac:dyDescent="0.25">
      <c r="A9" s="30">
        <v>0.085838</v>
      </c>
      <c r="B9" s="31">
        <v>71.10539976461</v>
      </c>
      <c r="C9" s="31">
        <v>69.57339040963217</v>
      </c>
      <c r="D9" s="31">
        <v>68.04138105465432</v>
      </c>
      <c r="E9" s="31">
        <v>66.50937169967646</v>
      </c>
      <c r="F9" s="31">
        <v>64.97736234469862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402067000000</v>
      </c>
      <c r="C5" s="18">
        <v>372809000000</v>
      </c>
      <c r="D5" s="18">
        <v>357776000000</v>
      </c>
      <c r="E5" s="18">
        <v>322467000000</v>
      </c>
      <c r="F5" s="6" t="s">
        <v>91</v>
      </c>
    </row>
    <row r="6" spans="1:6" x14ac:dyDescent="0.25">
      <c r="A6" t="s">
        <v>51</v>
      </c>
      <c r="B6" s="18">
        <v>10385000000</v>
      </c>
      <c r="C6" s="18">
        <v>9695000000</v>
      </c>
      <c r="D6" s="18">
        <v>14599000000</v>
      </c>
      <c r="E6" s="18">
        <v>16290000000</v>
      </c>
      <c r="F6" s="6" t="s">
        <v>92</v>
      </c>
    </row>
    <row r="7" spans="1:6" x14ac:dyDescent="0.25">
      <c r="A7" t="s">
        <v>93</v>
      </c>
      <c r="B7" s="18">
        <v>4606000000</v>
      </c>
      <c r="C7" s="18">
        <v>4597000000</v>
      </c>
      <c r="D7" s="18">
        <v>4366000000</v>
      </c>
      <c r="E7" s="18">
        <v>4224000000</v>
      </c>
      <c r="F7" s="6" t="s">
        <v>94</v>
      </c>
    </row>
    <row r="8" spans="1:6" x14ac:dyDescent="0.25">
      <c r="A8" t="s">
        <v>95</v>
      </c>
      <c r="B8" s="18">
        <v>2832000000</v>
      </c>
      <c r="C8" s="18">
        <v>2781000000</v>
      </c>
      <c r="D8" s="18">
        <v>3031000000</v>
      </c>
      <c r="E8" s="18">
        <v>2727000000</v>
      </c>
      <c r="F8" s="6" t="s">
        <v>96</v>
      </c>
    </row>
    <row r="9" spans="1:6" x14ac:dyDescent="0.25">
      <c r="A9" t="s">
        <v>97</v>
      </c>
      <c r="B9" s="18">
        <v>1474000000</v>
      </c>
      <c r="C9" s="18">
        <v>-109000000</v>
      </c>
      <c r="D9" s="18">
        <v>-15000000</v>
      </c>
      <c r="E9" s="18">
        <v>-6818000000</v>
      </c>
      <c r="F9" s="6" t="s">
        <v>98</v>
      </c>
    </row>
    <row r="10" spans="1:6" x14ac:dyDescent="0.25">
      <c r="A10" t="s">
        <v>99</v>
      </c>
      <c r="B10" s="18">
        <v>79950000000</v>
      </c>
      <c r="C10" s="18">
        <v>82920000000</v>
      </c>
      <c r="D10" s="18">
        <v>79385000000</v>
      </c>
      <c r="E10" s="18">
        <v>70732000000</v>
      </c>
      <c r="F10" s="6" t="s">
        <v>100</v>
      </c>
    </row>
    <row r="11" spans="1:6" x14ac:dyDescent="0.25">
      <c r="A11" t="s">
        <v>101</v>
      </c>
      <c r="B11" s="18">
        <v>10598000000</v>
      </c>
      <c r="C11" s="18">
        <v>10993000000</v>
      </c>
      <c r="D11" s="18">
        <v>11455000000</v>
      </c>
      <c r="E11" s="18">
        <v>15723000000</v>
      </c>
      <c r="F11" s="6" t="s">
        <v>102</v>
      </c>
    </row>
    <row r="12" spans="1:6" x14ac:dyDescent="0.25">
      <c r="A12" t="s">
        <v>34</v>
      </c>
      <c r="B12" s="34">
        <v>1271000000</v>
      </c>
      <c r="C12" s="34">
        <v>1262000000</v>
      </c>
      <c r="D12" s="34">
        <v>1290000000</v>
      </c>
      <c r="E12" s="34">
        <v>1323000000</v>
      </c>
      <c r="F12" s="6" t="s">
        <v>103</v>
      </c>
    </row>
    <row r="15" spans="1:1" x14ac:dyDescent="0.25">
      <c r="A15" s="19" t="s">
        <v>104</v>
      </c>
    </row>
    <row r="16" ht="86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