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<sst xmlns="http://schemas.openxmlformats.org/spreadsheetml/2006/main" count="112" uniqueCount="100">
  <si>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CVS Health Corporation (CVS)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</si>
  <si>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</si>
  <si>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</si>
  <si>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</si>
  <si>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</si>
  <si>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</si>
  <si>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</si>
  <si>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</si>
  <si>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</si>
  <si>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</si>
  <si>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</si>
  <si>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</si>
  <si>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</si>
  <si>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</si>
  <si>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</si>
  <si>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</si>
  <si>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</si>
  <si>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</si>
  <si>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</si>
  <si>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</si>
  <si>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</si>
  <si>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</si>
  <si>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</si>
  <si>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</si>
  <si>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</si>
  <si>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</si>
  <si>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</si>
  <si>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</si>
  <si>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</si>
  <si>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</si>
  <si>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</si>
  <si>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</si>
  <si>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</si>
  <si>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</si>
  <si>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</si>
  <si>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</si>
  <si>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</si>
  <si>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</si>
  <si>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</si>
  <si>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</si>
  <si>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</si>
  <si>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</si>
  <si>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</si>
  <si>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</si>
  <si>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</si>
  <si>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</si>
  <si>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</si>
  <si>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</si>
  <si>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</si>
  <si>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</si>
  <si>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</si>
  <si>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</si>
  <si>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</si>
  <si>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</si>
  <si>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</si>
  <si>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</si>
  <si>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</si>
  <si>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</si>
  <si>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</si>
  <si>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</si>
  <si>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</si>
  <si>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</si>
  <si>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</si>
  <si>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</si>
  <si>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</si>
  <si>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</si>
  <si>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</si>
  <si>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</si>
  <si>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</si>
  <si>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</si>
  <si>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</si>
  <si>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</si>
  <si>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</si>
  <si>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</si>
  <si>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</si>
  <si>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</si>
  <si>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</si>
  <si>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</si>
  <si>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</si>
  <si>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</si>
  <si>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</si>
  <si>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</si>
  <si>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</si>
  <si>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</si>
  <si>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</si>
  <si>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</si>
  <si>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</si>
  <si>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</si>
  <si>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</si>
  <si>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</si>
  <si>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</si>
  <si>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</si>
  <si>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</si>
  <si>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</si>
  <si>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</si>
  <si>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</si>
  <si>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</si>
  <si>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</si>
  <si>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0.79% of revenue, which is too low to be the company's real investment - property trusts and similar structures invest through lines that are not reported as capex. Capex has been set to 1.23%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</si>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</sst>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0.0763108477649228</v>
      </c>
    </row>
    <row r="7" spans="1:2" x14ac:dyDescent="0.25">
      <c r="A7" t="s">
        <v>5</v>
      </c>
      <c r="B7" s="6">
        <v>0.03578899004571618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0.012272173513117407</v>
      </c>
    </row>
    <row r="10" spans="1:2" x14ac:dyDescent="0.25">
      <c r="A10" t="s">
        <v>8</v>
      </c>
      <c r="B10" s="6">
        <v>0.012272173513117407</v>
      </c>
    </row>
    <row r="11" spans="1:2" x14ac:dyDescent="0.25">
      <c r="A11" t="s">
        <v>9</v>
      </c>
      <c r="B11" s="6">
        <v>-0.0004248208672009969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12.205704751917818</v>
      </c>
    </row>
    <row r="14" spans="1:3" x14ac:dyDescent="0.25">
      <c r="A14" t="s">
        <v>12</v>
      </c>
      <c r="B14" s="6">
        <v>0.07111131681421426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0.089503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113623719936</v>
      </c>
    </row>
    <row r="23" spans="1:2" x14ac:dyDescent="0.25">
      <c r="A23" t="s">
        <v>24</v>
      </c>
      <c r="B23" s="11">
        <v>79950000000</v>
      </c>
    </row>
    <row r="24" spans="1:2" x14ac:dyDescent="0.25">
      <c r="A24" t="s">
        <v>25</v>
      </c>
      <c r="B24" s="10">
        <f>B22/(B22+B23)</f>
        <v>0.5869790587976852</v>
      </c>
    </row>
    <row r="25" spans="1:2" x14ac:dyDescent="0.25">
      <c r="A25" t="s">
        <v>26</v>
      </c>
      <c r="B25" s="10">
        <f>1-B24</f>
        <v>0.4130209412023148</v>
      </c>
    </row>
    <row r="26" spans="1:2" x14ac:dyDescent="0.25">
      <c r="A26" t="s">
        <v>27</v>
      </c>
      <c r="B26" s="12">
        <f>B24*B20+B25*B21*(1-B8)</f>
        <v>0.06884418814618966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402067000000</v>
      </c>
      <c r="C29" s="8" t="s">
        <v>30</v>
      </c>
    </row>
    <row r="30" spans="1:2" x14ac:dyDescent="0.25">
      <c r="A30" t="s">
        <v>31</v>
      </c>
      <c r="B30" s="11">
        <v>69352000000</v>
      </c>
    </row>
    <row r="31" spans="1:2" x14ac:dyDescent="0.25">
      <c r="A31" t="s">
        <v>32</v>
      </c>
      <c r="B31" s="13">
        <v>1271000000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0.0763108477649228</v>
      </c>
      <c r="C5" s="10">
        <f>Assumptions!B6</f>
        <v>0.0763108477649228</v>
      </c>
      <c r="D5" s="10">
        <f>Assumptions!B6</f>
        <v>0.0763108477649228</v>
      </c>
      <c r="E5" s="10">
        <f>Assumptions!B6</f>
        <v>0.0763108477649228</v>
      </c>
      <c r="F5" s="10">
        <f>Assumptions!B6</f>
        <v>0.0763108477649228</v>
      </c>
    </row>
    <row r="6" spans="1:6" x14ac:dyDescent="0.25">
      <c r="A6" t="s">
        <v>43</v>
      </c>
      <c r="B6" s="18">
        <f>Assumptions!B29*(1+B5)</f>
        <v>432749073628.2992</v>
      </c>
      <c r="C6" s="18">
        <f>B6*(1+C5)</f>
        <v>465772522306.3597</v>
      </c>
      <c r="D6" s="18">
        <f>C6*(1+D5)</f>
        <v>501316018349.1644</v>
      </c>
      <c r="E6" s="18">
        <f>D6*(1+E5)</f>
        <v>539571868707.5248</v>
      </c>
      <c r="F6" s="18">
        <f>E6*(1+F5)</f>
        <v>580747055438.6996</v>
      </c>
    </row>
    <row r="7" spans="1:6" x14ac:dyDescent="0.25">
      <c r="A7" t="s">
        <v>5</v>
      </c>
      <c r="B7" s="10">
        <f>Assumptions!B7</f>
        <v>0.03578899004571618</v>
      </c>
      <c r="C7" s="10">
        <f>Assumptions!B7</f>
        <v>0.03578899004571618</v>
      </c>
      <c r="D7" s="10">
        <f>Assumptions!B7</f>
        <v>0.03578899004571618</v>
      </c>
      <c r="E7" s="10">
        <f>Assumptions!B7</f>
        <v>0.03578899004571618</v>
      </c>
      <c r="F7" s="10">
        <f>Assumptions!B7</f>
        <v>0.03578899004571618</v>
      </c>
    </row>
    <row r="8" spans="1:6" x14ac:dyDescent="0.25">
      <c r="A8" t="s">
        <v>44</v>
      </c>
      <c r="B8" s="18">
        <f>B6*B7</f>
        <v>15487652288.376099</v>
      </c>
      <c r="C8" s="18">
        <f>C6*C7</f>
        <v>16669528164.390425</v>
      </c>
      <c r="D8" s="18">
        <f>D6*D7</f>
        <v>17941593990.456314</v>
      </c>
      <c r="E8" s="18">
        <f>E6*E7</f>
        <v>19310732238.12208</v>
      </c>
      <c r="F8" s="18">
        <f>F6*F7</f>
        <v>20784350586.174603</v>
      </c>
    </row>
    <row r="9" spans="1:6" x14ac:dyDescent="0.25">
      <c r="A9" t="s">
        <v>45</v>
      </c>
      <c r="B9" s="18">
        <f>B8*(1-Assumptions!B8)</f>
        <v>12235245307.817118</v>
      </c>
      <c r="C9" s="18">
        <f>C8*(1-Assumptions!B8)</f>
        <v>13168927249.868437</v>
      </c>
      <c r="D9" s="18">
        <f>D8*(1-Assumptions!B8)</f>
        <v>14173859252.46049</v>
      </c>
      <c r="E9" s="18">
        <f>E8*(1-Assumptions!B8)</f>
        <v>15255478468.116446</v>
      </c>
      <c r="F9" s="18">
        <f>F8*(1-Assumptions!B8)</f>
        <v>16419636963.077936</v>
      </c>
    </row>
    <row r="10" spans="1:6" x14ac:dyDescent="0.25">
      <c r="A10" t="s">
        <v>46</v>
      </c>
      <c r="B10" s="18">
        <f>B6*Assumptions!B9</f>
        <v>5310771719.207308</v>
      </c>
      <c r="C10" s="18">
        <f>C6*Assumptions!B9</f>
        <v>5716041211.385994</v>
      </c>
      <c r="D10" s="18">
        <f>D6*Assumptions!B9</f>
        <v>6152237162.086096</v>
      </c>
      <c r="E10" s="18">
        <f>E6*Assumptions!B9</f>
        <v>6621719595.575748</v>
      </c>
      <c r="F10" s="18">
        <f>F6*Assumptions!B9</f>
        <v>7127028631.575735</v>
      </c>
    </row>
    <row r="11" spans="1:6" x14ac:dyDescent="0.25">
      <c r="A11" t="s">
        <v>47</v>
      </c>
      <c r="B11" s="18">
        <f>-B6*Assumptions!B10</f>
        <v>-5310771719.207308</v>
      </c>
      <c r="C11" s="18">
        <f>-C6*Assumptions!B10</f>
        <v>-5716041211.385994</v>
      </c>
      <c r="D11" s="18">
        <f>-D6*Assumptions!B10</f>
        <v>-6152237162.086096</v>
      </c>
      <c r="E11" s="18">
        <f>-E6*Assumptions!B10</f>
        <v>-6621719595.575748</v>
      </c>
      <c r="F11" s="18">
        <f>-F6*Assumptions!B10</f>
        <v>-7127028631.575735</v>
      </c>
    </row>
    <row r="12" spans="1:6" x14ac:dyDescent="0.25">
      <c r="A12" t="s">
        <v>48</v>
      </c>
      <c r="B12" s="18">
        <f>-(B6-Assumptions!B29)*Assumptions!B11</f>
        <v>13034385.1262989</v>
      </c>
      <c r="C12" s="18">
        <f>-(C6-B6)*Assumptions!B11</f>
        <v>14029050.10538127</v>
      </c>
      <c r="D12" s="18">
        <f>-(D6-C6)*Assumptions!B11</f>
        <v>15099618.812259516</v>
      </c>
      <c r="E12" s="18">
        <f>-(E6-D6)*Assumptions!B11</f>
        <v>16251883.524750212</v>
      </c>
      <c r="F12" s="18">
        <f>-(F6-E6)*Assumptions!B11</f>
        <v>17492078.534300663</v>
      </c>
    </row>
    <row r="13" spans="1:6" x14ac:dyDescent="0.25">
      <c r="A13" s="19" t="s">
        <v>49</v>
      </c>
      <c r="B13" s="20">
        <f>B9+B10+B11+B12</f>
        <v>12248279692.943417</v>
      </c>
      <c r="C13" s="20">
        <f>C9+C10+C11+C12</f>
        <v>13182956299.97382</v>
      </c>
      <c r="D13" s="20">
        <f>D9+D10+D11+D12</f>
        <v>14188958871.272749</v>
      </c>
      <c r="E13" s="20">
        <f>E9+E10+E11+E12</f>
        <v>15271730351.641193</v>
      </c>
      <c r="F13" s="20">
        <f>F9+F10+F11+F12</f>
        <v>16437129041.612236</v>
      </c>
    </row>
    <row r="14" spans="1:6" x14ac:dyDescent="0.25">
      <c r="A14" t="s">
        <v>50</v>
      </c>
      <c r="B14" s="21">
        <f>1/(1+Assumptions!$B$26)^(1-0.5*Assumptions!$B$32)</f>
        <v>0.9672590458405949</v>
      </c>
      <c r="C14" s="21">
        <f>1/(1+Assumptions!$B$26)^(2-0.5*Assumptions!$B$32)</f>
        <v>0.9049579504363636</v>
      </c>
      <c r="D14" s="21">
        <f>1/(1+Assumptions!$B$26)^(3-0.5*Assumptions!$B$32)</f>
        <v>0.8466696647393749</v>
      </c>
      <c r="E14" s="21">
        <f>1/(1+Assumptions!$B$26)^(4-0.5*Assumptions!$B$32)</f>
        <v>0.7921357239242178</v>
      </c>
      <c r="F14" s="21">
        <f>1/(1+Assumptions!$B$26)^(5-0.5*Assumptions!$B$32)</f>
        <v>0.7411143108689239</v>
      </c>
    </row>
    <row r="15" spans="1:6" x14ac:dyDescent="0.25">
      <c r="A15" s="19" t="s">
        <v>51</v>
      </c>
      <c r="B15" s="20">
        <f>B13*B14</f>
        <v>11847259328.985184</v>
      </c>
      <c r="C15" s="20">
        <f>C13*C14</f>
        <v>11930021113.916456</v>
      </c>
      <c r="D15" s="20">
        <f>D13*D14</f>
        <v>12013361050.541277</v>
      </c>
      <c r="E15" s="20">
        <f>E13*E14</f>
        <v>12097283177.672747</v>
      </c>
      <c r="F15" s="20">
        <f>F13*F14</f>
        <v>12181791562.338028</v>
      </c>
    </row>
    <row r="17" spans="1:2" x14ac:dyDescent="0.25">
      <c r="A17" s="22" t="s">
        <v>52</v>
      </c>
      <c r="B17" s="23">
        <f>SUM(B15:F15)</f>
        <v>60069716233.45369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16437129041.612236</v>
      </c>
    </row>
    <row r="5" spans="1:2" x14ac:dyDescent="0.25">
      <c r="A5" t="s">
        <v>56</v>
      </c>
      <c r="B5" s="18">
        <f>IF(Assumptions!$B$33=0,B4,B4-Forecast!F11-Forecast!F10-Forecast!F12)</f>
        <v>16419636963.077936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0.3515614830381374</v>
      </c>
    </row>
    <row r="7" spans="1:2" x14ac:dyDescent="0.25">
      <c r="A7" t="s">
        <v>58</v>
      </c>
      <c r="B7" s="18">
        <f>-MAX(Forecast!F9,0)*B6</f>
        <v>-5772511921.687497</v>
      </c>
    </row>
    <row r="8" spans="1:2" x14ac:dyDescent="0.25">
      <c r="A8" t="s">
        <v>59</v>
      </c>
      <c r="B8" s="18">
        <f>IF(OR(Assumptions!$B$33=0,Assumptions!B12&lt;=0),B5,MAX(B5+B7,0))</f>
        <v>10647125041.390438</v>
      </c>
    </row>
    <row r="9" spans="1:2" x14ac:dyDescent="0.25">
      <c r="A9" t="s">
        <v>60</v>
      </c>
      <c r="B9" s="18">
        <f>B8*(1+Assumptions!B12)/(Assumptions!B26-Assumptions!B12)</f>
        <v>248911055920.04523</v>
      </c>
    </row>
    <row r="10" spans="1:2" x14ac:dyDescent="0.25">
      <c r="A10" t="s">
        <v>61</v>
      </c>
      <c r="B10" s="18">
        <f>B9/(1+Assumptions!B26)^(5-0.5*Assumptions!B32)</f>
        <v>184471545675.84048</v>
      </c>
    </row>
    <row r="11" spans="1:2" x14ac:dyDescent="0.25">
      <c r="A11" t="s">
        <v>62</v>
      </c>
      <c r="B11" s="18">
        <f>Forecast!B17+B10</f>
        <v>244541261909.2942</v>
      </c>
    </row>
    <row r="12" spans="1:2" x14ac:dyDescent="0.25">
      <c r="A12" t="s">
        <v>63</v>
      </c>
      <c r="B12" s="18">
        <f>-Assumptions!B30</f>
        <v>-69352000000</v>
      </c>
    </row>
    <row r="13" spans="1:2" x14ac:dyDescent="0.25">
      <c r="A13" t="s">
        <v>64</v>
      </c>
      <c r="B13" s="18">
        <f>B11+B12</f>
        <v>175189261909.2942</v>
      </c>
    </row>
    <row r="14" spans="1:2" x14ac:dyDescent="0.25">
      <c r="A14" s="19" t="s">
        <v>65</v>
      </c>
      <c r="B14" s="24">
        <f>B13/Assumptions!B31</f>
        <v>137.83576861470826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27911379217.750336</v>
      </c>
    </row>
    <row r="18" spans="1:2" x14ac:dyDescent="0.25">
      <c r="A18" t="s">
        <v>60</v>
      </c>
      <c r="B18" s="18">
        <f>B17*Assumptions!B13</f>
        <v>340678053950.6755</v>
      </c>
    </row>
    <row r="19" spans="1:2" x14ac:dyDescent="0.25">
      <c r="A19" t="s">
        <v>61</v>
      </c>
      <c r="B19" s="18">
        <f>B18/(1+Assumptions!B26)^(5-0.5*Assumptions!B32)</f>
        <v>252481381181.82092</v>
      </c>
    </row>
    <row r="20" spans="1:2" x14ac:dyDescent="0.25">
      <c r="A20" t="s">
        <v>62</v>
      </c>
      <c r="B20" s="18">
        <f>Forecast!B17+B19</f>
        <v>312551097415.2746</v>
      </c>
    </row>
    <row r="21" spans="1:2" x14ac:dyDescent="0.25">
      <c r="A21" t="s">
        <v>63</v>
      </c>
      <c r="B21" s="18">
        <f>-Assumptions!B30</f>
        <v>-69352000000</v>
      </c>
    </row>
    <row r="22" spans="1:2" x14ac:dyDescent="0.25">
      <c r="A22" t="s">
        <v>64</v>
      </c>
      <c r="B22" s="18">
        <f>B20+B21</f>
        <v>243199097415.2746</v>
      </c>
    </row>
    <row r="23" spans="1:2" x14ac:dyDescent="0.25">
      <c r="A23" s="19" t="s">
        <v>65</v>
      </c>
      <c r="B23" s="25">
        <f>B22/Assumptions!B31</f>
        <v>191.34468718747019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137.83576861470826</v>
      </c>
    </row>
    <row r="29" spans="1:2" x14ac:dyDescent="0.25">
      <c r="A29" s="19" t="s">
        <v>73</v>
      </c>
      <c r="B29" s="12">
        <f>B28/B26-1</f>
        <v>0.5515057250642532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0.048844</v>
      </c>
      <c r="B5" s="31">
        <v>241.68223985435378</v>
      </c>
      <c r="C5" s="31">
        <v>259.9495873455117</v>
      </c>
      <c r="D5" s="31">
        <v>285.57075054508584</v>
      </c>
      <c r="E5" s="31">
        <v>324.39943544045934</v>
      </c>
      <c r="F5" s="31">
        <v>390.7460165936799</v>
      </c>
    </row>
    <row r="6" spans="1:6" x14ac:dyDescent="0.25">
      <c r="A6" s="30">
        <v>0.058844</v>
      </c>
      <c r="B6" s="31">
        <v>176.28038397133173</v>
      </c>
      <c r="C6" s="31">
        <v>182.3388071085449</v>
      </c>
      <c r="D6" s="31">
        <v>189.97983014653298</v>
      </c>
      <c r="E6" s="31">
        <v>200.02646648536634</v>
      </c>
      <c r="F6" s="31">
        <v>213.99206118093625</v>
      </c>
    </row>
    <row r="7" spans="1:6" x14ac:dyDescent="0.25">
      <c r="A7" s="30">
        <v>0.068844</v>
      </c>
      <c r="B7" s="31">
        <v>135.10804208285106</v>
      </c>
      <c r="C7" s="31">
        <v>136.40154346681433</v>
      </c>
      <c r="D7" s="32">
        <v>137.83652732703854</v>
      </c>
      <c r="E7" s="31">
        <v>139.46762854005343</v>
      </c>
      <c r="F7" s="31">
        <v>141.38176828219318</v>
      </c>
    </row>
    <row r="8" spans="1:6" x14ac:dyDescent="0.25">
      <c r="A8" s="30">
        <v>0.078844</v>
      </c>
      <c r="B8" s="31">
        <v>109.80295299405286</v>
      </c>
      <c r="C8" s="31">
        <v>110.38519753800487</v>
      </c>
      <c r="D8" s="31">
        <v>110.96744208195689</v>
      </c>
      <c r="E8" s="31">
        <v>111.5496866259089</v>
      </c>
      <c r="F8" s="31">
        <v>112.13193116986089</v>
      </c>
    </row>
    <row r="9" spans="1:6" x14ac:dyDescent="0.25">
      <c r="A9" s="30">
        <v>0.088844</v>
      </c>
      <c r="B9" s="31">
        <v>91.18633743645361</v>
      </c>
      <c r="C9" s="31">
        <v>91.68203230214237</v>
      </c>
      <c r="D9" s="31">
        <v>92.17772716783108</v>
      </c>
      <c r="E9" s="31">
        <v>92.67342203351986</v>
      </c>
      <c r="F9" s="31">
        <v>93.16911689920857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402067000000</v>
      </c>
      <c r="C5" s="18">
        <v>372809000000</v>
      </c>
      <c r="D5" s="18">
        <v>357776000000</v>
      </c>
      <c r="E5" s="18">
        <v>322467000000</v>
      </c>
      <c r="F5" s="8" t="s">
        <v>84</v>
      </c>
    </row>
    <row r="6" spans="1:6" x14ac:dyDescent="0.25">
      <c r="A6" t="s">
        <v>44</v>
      </c>
      <c r="B6" s="18">
        <v>10385000000</v>
      </c>
      <c r="C6" s="18">
        <v>9695000000</v>
      </c>
      <c r="D6" s="18">
        <v>14599000000</v>
      </c>
      <c r="E6" s="18">
        <v>16290000000</v>
      </c>
      <c r="F6" s="8" t="s">
        <v>85</v>
      </c>
    </row>
    <row r="7" spans="1:6" x14ac:dyDescent="0.25">
      <c r="A7" t="s">
        <v>86</v>
      </c>
      <c r="B7" s="18">
        <v>4606000000</v>
      </c>
      <c r="C7" s="18">
        <v>4597000000</v>
      </c>
      <c r="D7" s="18">
        <v>4366000000</v>
      </c>
      <c r="E7" s="18">
        <v>4224000000</v>
      </c>
      <c r="F7" s="8" t="s">
        <v>87</v>
      </c>
    </row>
    <row r="8" spans="1:6" x14ac:dyDescent="0.25">
      <c r="A8" t="s">
        <v>88</v>
      </c>
      <c r="B8" s="18">
        <v>2832000000</v>
      </c>
      <c r="C8" s="18">
        <v>2781000000</v>
      </c>
      <c r="D8" s="18">
        <v>3031000000</v>
      </c>
      <c r="E8" s="18">
        <v>2727000000</v>
      </c>
      <c r="F8" s="8" t="s">
        <v>89</v>
      </c>
    </row>
    <row r="9" spans="1:6" x14ac:dyDescent="0.25">
      <c r="A9" t="s">
        <v>90</v>
      </c>
      <c r="B9" s="18">
        <v>1474000000</v>
      </c>
      <c r="C9" s="18">
        <v>-109000000</v>
      </c>
      <c r="D9" s="18">
        <v>-15000000</v>
      </c>
      <c r="E9" s="18">
        <v>-6818000000</v>
      </c>
      <c r="F9" s="8" t="s">
        <v>91</v>
      </c>
    </row>
    <row r="10" spans="1:6" x14ac:dyDescent="0.25">
      <c r="A10" t="s">
        <v>92</v>
      </c>
      <c r="B10" s="18">
        <v>79950000000</v>
      </c>
      <c r="C10" s="18">
        <v>82920000000</v>
      </c>
      <c r="D10" s="18">
        <v>79385000000</v>
      </c>
      <c r="E10" s="18">
        <v>70732000000</v>
      </c>
      <c r="F10" s="8" t="s">
        <v>93</v>
      </c>
    </row>
    <row r="11" spans="1:6" x14ac:dyDescent="0.25">
      <c r="A11" t="s">
        <v>94</v>
      </c>
      <c r="B11" s="18">
        <v>10598000000</v>
      </c>
      <c r="C11" s="18">
        <v>10993000000</v>
      </c>
      <c r="D11" s="18">
        <v>11455000000</v>
      </c>
      <c r="E11" s="18">
        <v>15723000000</v>
      </c>
      <c r="F11" s="8" t="s">
        <v>95</v>
      </c>
    </row>
    <row r="12" spans="1:6" x14ac:dyDescent="0.25">
      <c r="A12" t="s">
        <v>32</v>
      </c>
      <c r="B12" s="34">
        <v>1271000000</v>
      </c>
      <c r="C12" s="34">
        <v>1262000000</v>
      </c>
      <c r="D12" s="34">
        <v>1290000000</v>
      </c>
      <c r="E12" s="34">
        <v>1323000000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