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<sst xmlns="http://schemas.openxmlformats.org/spreadsheetml/2006/main" count="119" uniqueCount="106">
  <si>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Chevron Corporation (CVX)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</si>
  <si>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</si>
  <si>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</si>
  <si>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</si>
  <si>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</si>
  <si>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</si>
  <si>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</si>
  <si>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</si>
  <si>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</si>
  <si>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</si>
  <si>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</si>
  <si>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</si>
  <si>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</si>
  <si>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</si>
  <si>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</si>
  <si>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</si>
  <si>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</si>
  <si>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</si>
  <si>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</si>
  <si>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</si>
  <si>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</si>
  <si>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</si>
  <si>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</si>
  <si>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</si>
  <si>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13.7x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</si>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</sst>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0.30989014644963997</v>
      </c>
    </row>
    <row r="7" spans="1:2" x14ac:dyDescent="0.25">
      <c r="A7" t="s">
        <v>4</v>
      </c>
      <c r="B7" s="5">
        <v>0.1227242253353801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0.08733064236934929</v>
      </c>
    </row>
    <row r="10" spans="1:3" x14ac:dyDescent="0.25">
      <c r="A10" t="s">
        <v>7</v>
      </c>
      <c r="B10" s="5">
        <v>0.07757017067962929</v>
      </c>
      <c r="C10" s="6" t="s">
        <v>8</v>
      </c>
    </row>
    <row r="11" spans="1:2" x14ac:dyDescent="0.25">
      <c r="A11" t="s">
        <v>9</v>
      </c>
      <c r="B11" s="5">
        <v>0.04127018830467907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13.488502375482259</v>
      </c>
    </row>
    <row r="14" spans="1:3" x14ac:dyDescent="0.25">
      <c r="A14" t="s">
        <v>12</v>
      </c>
      <c r="B14" s="5">
        <v>0.09958418770332035</v>
      </c>
      <c r="C14" s="6" t="s">
        <v>13</v>
      </c>
    </row>
    <row r="15" spans="1:3" x14ac:dyDescent="0.25">
      <c r="A15" t="s">
        <v>14</v>
      </c>
      <c r="B15" s="5">
        <v>0.08733064236934929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0.68041</v>
      </c>
      <c r="C19" s="6" t="s">
        <v>21</v>
      </c>
    </row>
    <row r="20" spans="1:2" x14ac:dyDescent="0.25">
      <c r="A20" t="s">
        <v>22</v>
      </c>
      <c r="B20" s="9">
        <f>B17+B19*B18</f>
        <v>0.077721343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461996818432</v>
      </c>
    </row>
    <row r="23" spans="1:2" x14ac:dyDescent="0.25">
      <c r="A23" t="s">
        <v>26</v>
      </c>
      <c r="B23" s="10">
        <v>40758000000</v>
      </c>
    </row>
    <row r="24" spans="1:2" x14ac:dyDescent="0.25">
      <c r="A24" t="s">
        <v>27</v>
      </c>
      <c r="B24" s="9">
        <f>B22/(B22+B23)</f>
        <v>0.9189306626098249</v>
      </c>
    </row>
    <row r="25" spans="1:2" x14ac:dyDescent="0.25">
      <c r="A25" t="s">
        <v>28</v>
      </c>
      <c r="B25" s="9">
        <f>1-B24</f>
        <v>0.08106933739017508</v>
      </c>
    </row>
    <row r="26" spans="1:2" x14ac:dyDescent="0.25">
      <c r="A26" t="s">
        <v>29</v>
      </c>
      <c r="B26" s="11">
        <f>B24*B20+B25*B21*(1-B8)</f>
        <v>0.0748110556918498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184432000000</v>
      </c>
      <c r="C29" s="6" t="s">
        <v>32</v>
      </c>
    </row>
    <row r="30" spans="1:2" x14ac:dyDescent="0.25">
      <c r="A30" t="s">
        <v>33</v>
      </c>
      <c r="B30" s="10">
        <v>34461000000</v>
      </c>
    </row>
    <row r="31" spans="1:2" x14ac:dyDescent="0.25">
      <c r="A31" t="s">
        <v>34</v>
      </c>
      <c r="B31" s="12">
        <v>1855637000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0.30989014644963997</v>
      </c>
      <c r="C5" s="5">
        <v>-0.04219720318466158</v>
      </c>
      <c r="D5" s="5">
        <v>-0.03379755278657888</v>
      </c>
      <c r="E5" s="5">
        <v>-0.025397902388496187</v>
      </c>
      <c r="F5" s="5">
        <v>-0.01699825199041349</v>
      </c>
      <c r="G5" s="5">
        <v>-0.008598601592330793</v>
      </c>
      <c r="H5" s="5">
        <v>-0.0001989511942480926</v>
      </c>
      <c r="I5" s="5">
        <v>0.0082006992038346</v>
      </c>
      <c r="J5" s="5">
        <v>0.016600349601917294</v>
      </c>
      <c r="K5" s="5">
        <v>0.024999999999999994</v>
      </c>
    </row>
    <row r="6" spans="1:11" x14ac:dyDescent="0.25">
      <c r="A6" t="s">
        <v>50</v>
      </c>
      <c r="B6" s="18">
        <f>Assumptions!B29*(1+B5)</f>
        <v>241585659490</v>
      </c>
      <c r="C6" s="18">
        <f>B6*(1+C5)</f>
        <v>231391420330</v>
      </c>
      <c r="D6" s="18">
        <f>C6*(1+D5)</f>
        <v>223570956587.03534</v>
      </c>
      <c r="E6" s="18">
        <f>D6*(1+E5)</f>
        <v>217892723254.7351</v>
      </c>
      <c r="F6" s="18">
        <f>E6*(1+F5)</f>
        <v>214188927837.9737</v>
      </c>
      <c r="G6" s="18">
        <f>F6*(1+G5)</f>
        <v>212347202582.00647</v>
      </c>
      <c r="H6" s="18">
        <f>G6*(1+H5)</f>
        <v>212304955852.45755</v>
      </c>
      <c r="I6" s="18">
        <f>H6*(1+I5)</f>
        <v>214046004934.88693</v>
      </c>
      <c r="J6" s="18">
        <f>I6*(1+J5)</f>
        <v>217599243447.6998</v>
      </c>
      <c r="K6" s="18">
        <f>J6*(1+K5)</f>
        <v>223039224533.89227</v>
      </c>
    </row>
    <row r="7" spans="1:11" x14ac:dyDescent="0.25">
      <c r="A7" t="s">
        <v>4</v>
      </c>
      <c r="B7" s="9">
        <f>Assumptions!B7</f>
        <v>0.1227242253353801</v>
      </c>
      <c r="C7" s="9">
        <f>Assumptions!B7</f>
        <v>0.1227242253353801</v>
      </c>
      <c r="D7" s="9">
        <f>Assumptions!B7</f>
        <v>0.1227242253353801</v>
      </c>
      <c r="E7" s="9">
        <f>Assumptions!B7</f>
        <v>0.1227242253353801</v>
      </c>
      <c r="F7" s="9">
        <f>Assumptions!B7</f>
        <v>0.1227242253353801</v>
      </c>
      <c r="G7" s="9">
        <f>Assumptions!B7</f>
        <v>0.1227242253353801</v>
      </c>
      <c r="H7" s="9">
        <f>Assumptions!B7</f>
        <v>0.1227242253353801</v>
      </c>
      <c r="I7" s="9">
        <f>Assumptions!B7</f>
        <v>0.1227242253353801</v>
      </c>
      <c r="J7" s="9">
        <f>Assumptions!B7</f>
        <v>0.1227242253353801</v>
      </c>
      <c r="K7" s="9">
        <f>Assumptions!B7</f>
        <v>0.1227242253353801</v>
      </c>
    </row>
    <row r="8" spans="1:11" x14ac:dyDescent="0.25">
      <c r="A8" t="s">
        <v>51</v>
      </c>
      <c r="B8" s="18">
        <f>B6*B7</f>
        <v>29648412913.04717</v>
      </c>
      <c r="C8" s="18">
        <f>C6*C7</f>
        <v>28397332809.252575</v>
      </c>
      <c r="D8" s="18">
        <f>D6*D7</f>
        <v>27437572454.63381</v>
      </c>
      <c r="E8" s="18">
        <f>E6*E7</f>
        <v>26740715667.65373</v>
      </c>
      <c r="F8" s="18">
        <f>F6*F7</f>
        <v>26286170244.33095</v>
      </c>
      <c r="G8" s="18">
        <f>G6*G7</f>
        <v>26060145939.01177</v>
      </c>
      <c r="H8" s="18">
        <f>H6*H7</f>
        <v>26054961241.854927</v>
      </c>
      <c r="I8" s="18">
        <f>I6*I7</f>
        <v>26268630141.766945</v>
      </c>
      <c r="J8" s="18">
        <f>J6*J7</f>
        <v>26704698585.683743</v>
      </c>
      <c r="K8" s="18">
        <f>K6*K7</f>
        <v>27372316050.325832</v>
      </c>
    </row>
    <row r="9" spans="1:11" x14ac:dyDescent="0.25">
      <c r="A9" t="s">
        <v>52</v>
      </c>
      <c r="B9" s="18">
        <f>B8*(1-Assumptions!B8)</f>
        <v>23422246201.307266</v>
      </c>
      <c r="C9" s="18">
        <f>C8*(1-Assumptions!B8)</f>
        <v>22433892919.309536</v>
      </c>
      <c r="D9" s="18">
        <f>D8*(1-Assumptions!B8)</f>
        <v>21675682239.16071</v>
      </c>
      <c r="E9" s="18">
        <f>E8*(1-Assumptions!B8)</f>
        <v>21125165377.446445</v>
      </c>
      <c r="F9" s="18">
        <f>F8*(1-Assumptions!B8)</f>
        <v>20766074493.021454</v>
      </c>
      <c r="G9" s="18">
        <f>G8*(1-Assumptions!B8)</f>
        <v>20587515291.819298</v>
      </c>
      <c r="H9" s="18">
        <f>H8*(1-Assumptions!B8)</f>
        <v>20583419381.06539</v>
      </c>
      <c r="I9" s="18">
        <f>I8*(1-Assumptions!B8)</f>
        <v>20752217811.995888</v>
      </c>
      <c r="J9" s="18">
        <f>J8*(1-Assumptions!B8)</f>
        <v>21096711882.69016</v>
      </c>
      <c r="K9" s="18">
        <f>K8*(1-Assumptions!B8)</f>
        <v>21624129679.75741</v>
      </c>
    </row>
    <row r="10" spans="1:11" x14ac:dyDescent="0.25">
      <c r="A10" t="s">
        <v>53</v>
      </c>
      <c r="B10" s="18">
        <f>B6*Assumptions!B9</f>
        <v>21097830830.484585</v>
      </c>
      <c r="C10" s="18">
        <f>C6*Assumptions!B9</f>
        <v>20207561376.175007</v>
      </c>
      <c r="D10" s="18">
        <f>D6*Assumptions!B9</f>
        <v>19524595253.875698</v>
      </c>
      <c r="E10" s="18">
        <f>E6*Assumptions!B9</f>
        <v>19028711489.442867</v>
      </c>
      <c r="F10" s="18">
        <f>F6*Assumptions!B9</f>
        <v>18705256656.492443</v>
      </c>
      <c r="G10" s="18">
        <f>G6*Assumptions!B9</f>
        <v>18544417606.820972</v>
      </c>
      <c r="H10" s="18">
        <f>H6*Assumptions!B9</f>
        <v>18540728172.79146</v>
      </c>
      <c r="I10" s="18">
        <f>I6*Assumptions!B9</f>
        <v>18692775107.556583</v>
      </c>
      <c r="J10" s="18">
        <f>J6*Assumptions!B9</f>
        <v>19003081709.372044</v>
      </c>
      <c r="K10" s="18">
        <f>K6*Assumptions!B9</f>
        <v>19478158752.106342</v>
      </c>
    </row>
    <row r="11" spans="1:11" x14ac:dyDescent="0.25">
      <c r="A11" t="s">
        <v>54</v>
      </c>
      <c r="B11" s="18">
        <f>-B6*B19</f>
        <v>-18739840840.390102</v>
      </c>
      <c r="C11" s="18">
        <f>-C6*C19</f>
        <v>-18825780939.23035</v>
      </c>
      <c r="D11" s="18">
        <f>-D6*D19</f>
        <v>-19036593966.911957</v>
      </c>
      <c r="E11" s="18">
        <f>-E6*E19</f>
        <v>-19378668750.936825</v>
      </c>
      <c r="F11" s="18">
        <f>-F6*F19</f>
        <v>-19860796445.000057</v>
      </c>
      <c r="G11" s="18">
        <f>-G6*G19</f>
        <v>-20494574524.42189</v>
      </c>
      <c r="H11" s="18">
        <f>-H6*H19</f>
        <v>-21294890192.89232</v>
      </c>
      <c r="I11" s="18">
        <f>-I6*I19</f>
        <v>-22280512856.25141</v>
      </c>
      <c r="J11" s="18">
        <f>-J6*J19</f>
        <v>-23474829545.40076</v>
      </c>
      <c r="K11" s="18">
        <f>-K6*K19</f>
        <v>-24906763980.12198</v>
      </c>
    </row>
    <row r="12" spans="1:11" x14ac:dyDescent="0.25">
      <c r="A12" t="s">
        <v>55</v>
      </c>
      <c r="B12" s="18">
        <f>-(B6-Assumptions!B29)*Assumptions!B11</f>
        <v>-2358742289.4538083</v>
      </c>
      <c r="C12" s="18">
        <f>-(C6-B6)*Assumptions!B11</f>
        <v>420718169.75613344</v>
      </c>
      <c r="D12" s="18">
        <f>-(D6-C6)*Assumptions!B11</f>
        <v>322752011.30206686</v>
      </c>
      <c r="E12" s="18">
        <f>-(E6-D6)*Assumptions!B11</f>
        <v>234341758.8619359</v>
      </c>
      <c r="F12" s="18">
        <f>-(F6-E6)*Assumptions!B11</f>
        <v>152856334.29175085</v>
      </c>
      <c r="G12" s="18">
        <f>-(G6-F6)*Assumptions!B11</f>
        <v>76008348.11925061</v>
      </c>
      <c r="H12" s="18">
        <f>-(H6-G6)*Assumptions!B11</f>
        <v>1743530.4837407647</v>
      </c>
      <c r="I12" s="18">
        <f>-(I6-H6)*Assumptions!B11</f>
        <v>-71853423.47954932</v>
      </c>
      <c r="J12" s="18">
        <f>-(J6-I6)*Assumptions!B11</f>
        <v>-146642822.5152248</v>
      </c>
      <c r="K12" s="18">
        <f>-(K6-J6)*Assumptions!B11</f>
        <v>-224509043.80105603</v>
      </c>
    </row>
    <row r="13" spans="1:11" x14ac:dyDescent="0.25">
      <c r="A13" s="19" t="s">
        <v>56</v>
      </c>
      <c r="B13" s="20">
        <f>B9+B10+B11+B12</f>
        <v>23421493901.947945</v>
      </c>
      <c r="C13" s="20">
        <f>C9+C10+C11+C12</f>
        <v>24236391526.010326</v>
      </c>
      <c r="D13" s="20">
        <f>D9+D10+D11+D12</f>
        <v>22486435537.426517</v>
      </c>
      <c r="E13" s="20">
        <f>E9+E10+E11+E12</f>
        <v>21009549874.814423</v>
      </c>
      <c r="F13" s="20">
        <f>F9+F10+F11+F12</f>
        <v>19763391038.805595</v>
      </c>
      <c r="G13" s="20">
        <f>G9+G10+G11+G12</f>
        <v>18713366722.337635</v>
      </c>
      <c r="H13" s="20">
        <f>H9+H10+H11+H12</f>
        <v>17831000891.448273</v>
      </c>
      <c r="I13" s="20">
        <f>I9+I10+I11+I12</f>
        <v>17092626639.821514</v>
      </c>
      <c r="J13" s="20">
        <f>J9+J10+J11+J12</f>
        <v>16478321224.146217</v>
      </c>
      <c r="K13" s="20">
        <f>K9+K10+K11+K12</f>
        <v>15971015407.94072</v>
      </c>
    </row>
    <row r="14" spans="1:11" x14ac:dyDescent="0.25">
      <c r="A14" t="s">
        <v>57</v>
      </c>
      <c r="B14" s="21">
        <f>1/(1+Assumptions!$B$26)^(1-0.5*Assumptions!$B$32)</f>
        <v>0.9645704155495215</v>
      </c>
      <c r="C14" s="21">
        <f>1/(1+Assumptions!$B$26)^(2-0.5*Assumptions!$B$32)</f>
        <v>0.8974325398324386</v>
      </c>
      <c r="D14" s="21">
        <f>1/(1+Assumptions!$B$26)^(3-0.5*Assumptions!$B$32)</f>
        <v>0.834967723005758</v>
      </c>
      <c r="E14" s="21">
        <f>1/(1+Assumptions!$B$26)^(4-0.5*Assumptions!$B$32)</f>
        <v>0.7768507018829407</v>
      </c>
      <c r="F14" s="21">
        <f>1/(1+Assumptions!$B$26)^(5-0.5*Assumptions!$B$32)</f>
        <v>0.7227788528681315</v>
      </c>
      <c r="G14" s="21">
        <f>1/(1+Assumptions!$B$26)^(6-0.5*Assumptions!$B$32)</f>
        <v>0.6724706161520482</v>
      </c>
      <c r="H14" s="21">
        <f>1/(1+Assumptions!$B$26)^(7-0.5*Assumptions!$B$32)</f>
        <v>0.6256640295900033</v>
      </c>
      <c r="I14" s="21">
        <f>1/(1+Assumptions!$B$26)^(8-0.5*Assumptions!$B$32)</f>
        <v>0.5821153646277548</v>
      </c>
      <c r="J14" s="21">
        <f>1/(1+Assumptions!$B$26)^(9-0.5*Assumptions!$B$32)</f>
        <v>0.5415978571722548</v>
      </c>
      <c r="K14" s="21">
        <f>1/(1+Assumptions!$B$26)^(10-0.5*Assumptions!$B$32)</f>
        <v>0.5039005267987604</v>
      </c>
    </row>
    <row r="15" spans="1:11" x14ac:dyDescent="0.25">
      <c r="A15" s="19" t="s">
        <v>58</v>
      </c>
      <c r="B15" s="20">
        <f>B13*B14</f>
        <v>22591680105.79251</v>
      </c>
      <c r="C15" s="20">
        <f>C13*C14</f>
        <v>21750526403.56084</v>
      </c>
      <c r="D15" s="20">
        <f>D13*D14</f>
        <v>18775447879.200775</v>
      </c>
      <c r="E15" s="20">
        <f>E13*E14</f>
        <v>16321283566.494232</v>
      </c>
      <c r="F15" s="20">
        <f>F13*F14</f>
        <v>14284561103.812218</v>
      </c>
      <c r="G15" s="20">
        <f>G13*G14</f>
        <v>12584189250.049623</v>
      </c>
      <c r="H15" s="20">
        <f>H13*H14</f>
        <v>11156215869.366468</v>
      </c>
      <c r="I15" s="20">
        <f>I13*I14</f>
        <v>9949880588.885777</v>
      </c>
      <c r="J15" s="20">
        <f>J13*J14</f>
        <v>8924623464.793678</v>
      </c>
      <c r="K15" s="20">
        <f>K13*K14</f>
        <v>8047803077.572448</v>
      </c>
    </row>
    <row r="17" spans="1:2" x14ac:dyDescent="0.25">
      <c r="A17" s="22" t="s">
        <v>59</v>
      </c>
      <c r="B17" s="23">
        <f>SUM(B15:K15)</f>
        <v>144386211309.52856</v>
      </c>
    </row>
    <row r="19" spans="1:11" x14ac:dyDescent="0.25">
      <c r="A19" t="s">
        <v>7</v>
      </c>
      <c r="B19" s="9">
        <f>Assumptions!$B$10+($B$20-Assumptions!$B$10)*0/9</f>
        <v>0.07757017067962929</v>
      </c>
      <c r="C19" s="9">
        <f>Assumptions!$B$10+($B$20-Assumptions!$B$10)*1/9</f>
        <v>0.0813590275403551</v>
      </c>
      <c r="D19" s="9">
        <f>Assumptions!$B$10+($B$20-Assumptions!$B$10)*2/9</f>
        <v>0.08514788440108088</v>
      </c>
      <c r="E19" s="9">
        <f>Assumptions!$B$10+($B$20-Assumptions!$B$10)*3/9</f>
        <v>0.08893674126180669</v>
      </c>
      <c r="F19" s="9">
        <f>Assumptions!$B$10+($B$20-Assumptions!$B$10)*4/9</f>
        <v>0.09272559812253248</v>
      </c>
      <c r="G19" s="9">
        <f>Assumptions!$B$10+($B$20-Assumptions!$B$10)*5/9</f>
        <v>0.09651445498325828</v>
      </c>
      <c r="H19" s="9">
        <f>Assumptions!$B$10+($B$20-Assumptions!$B$10)*6/9</f>
        <v>0.10030331184398407</v>
      </c>
      <c r="I19" s="9">
        <f>Assumptions!$B$10+($B$20-Assumptions!$B$10)*7/9</f>
        <v>0.10409216870470987</v>
      </c>
      <c r="J19" s="9">
        <f>Assumptions!$B$10+($B$20-Assumptions!$B$10)*8/9</f>
        <v>0.10788102556543566</v>
      </c>
      <c r="K19" s="9">
        <f>Assumptions!$B$10+($B$20-Assumptions!$B$10)*9/9</f>
        <v>0.11166988242616147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0.11166988242616147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15971015407.94072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21624129679.75741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0.25104387128687145</v>
      </c>
    </row>
    <row r="7" spans="1:2" x14ac:dyDescent="0.25">
      <c r="A7" t="s">
        <v>66</v>
      </c>
      <c r="B7" s="18">
        <f>-MAX(B5,0)*B6</f>
        <v>-5428605228.0156355</v>
      </c>
    </row>
    <row r="8" spans="1:2" x14ac:dyDescent="0.25">
      <c r="A8" t="s">
        <v>67</v>
      </c>
      <c r="B8" s="18">
        <f>IF(OR(Assumptions!$B$33=0,Assumptions!B12&lt;=0),B5,MAX(B5+B7,0))</f>
        <v>16195524451.741772</v>
      </c>
    </row>
    <row r="9" spans="1:2" x14ac:dyDescent="0.25">
      <c r="A9" t="s">
        <v>68</v>
      </c>
      <c r="B9" s="18">
        <f>B8*(1+Assumptions!B12)/(Assumptions!B26-Assumptions!B12)</f>
        <v>333267631702.72485</v>
      </c>
    </row>
    <row r="10" spans="1:2" x14ac:dyDescent="0.25">
      <c r="A10" t="s">
        <v>69</v>
      </c>
      <c r="B10" s="18">
        <f>B9/(1+Assumptions!B26)^(10-0.5*Assumptions!B32)</f>
        <v>167933735179.97833</v>
      </c>
    </row>
    <row r="11" spans="1:2" x14ac:dyDescent="0.25">
      <c r="A11" t="s">
        <v>70</v>
      </c>
      <c r="B11" s="18">
        <f>Forecast!B17+B10</f>
        <v>312319946489.5069</v>
      </c>
    </row>
    <row r="12" spans="1:2" x14ac:dyDescent="0.25">
      <c r="A12" t="s">
        <v>71</v>
      </c>
      <c r="B12" s="18">
        <f>-Assumptions!B30</f>
        <v>-34461000000</v>
      </c>
    </row>
    <row r="13" spans="1:2" x14ac:dyDescent="0.25">
      <c r="A13" t="s">
        <v>72</v>
      </c>
      <c r="B13" s="18">
        <f>B11+B12</f>
        <v>277858946489.5069</v>
      </c>
    </row>
    <row r="14" spans="1:2" x14ac:dyDescent="0.25">
      <c r="A14" s="19" t="s">
        <v>73</v>
      </c>
      <c r="B14" s="24">
        <f>B13/Assumptions!B31</f>
        <v>149.73777009701084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46850474802.432175</v>
      </c>
    </row>
    <row r="18" spans="1:2" x14ac:dyDescent="0.25">
      <c r="A18" t="s">
        <v>68</v>
      </c>
      <c r="B18" s="18">
        <f>B17*Assumptions!B13</f>
        <v>631942740665.0781</v>
      </c>
    </row>
    <row r="19" spans="1:2" x14ac:dyDescent="0.25">
      <c r="A19" t="s">
        <v>69</v>
      </c>
      <c r="B19" s="18">
        <f>B18/(1+Assumptions!B26)^(10-0.5*Assumptions!B32)</f>
        <v>318436279927.7853</v>
      </c>
    </row>
    <row r="20" spans="1:2" x14ac:dyDescent="0.25">
      <c r="A20" t="s">
        <v>70</v>
      </c>
      <c r="B20" s="18">
        <f>Forecast!B17+B19</f>
        <v>462822491237.31384</v>
      </c>
    </row>
    <row r="21" spans="1:2" x14ac:dyDescent="0.25">
      <c r="A21" t="s">
        <v>71</v>
      </c>
      <c r="B21" s="18">
        <f>-Assumptions!B30</f>
        <v>-34461000000</v>
      </c>
    </row>
    <row r="22" spans="1:2" x14ac:dyDescent="0.25">
      <c r="A22" t="s">
        <v>72</v>
      </c>
      <c r="B22" s="18">
        <f>B20+B21</f>
        <v>428361491237.31384</v>
      </c>
    </row>
    <row r="23" spans="1:2" x14ac:dyDescent="0.25">
      <c r="A23" s="19" t="s">
        <v>73</v>
      </c>
      <c r="B23" s="25">
        <f>B22/Assumptions!B31</f>
        <v>230.84336604482118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235.52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149.73777009701084</v>
      </c>
    </row>
    <row r="29" spans="1:2" x14ac:dyDescent="0.25">
      <c r="A29" s="19" t="s">
        <v>81</v>
      </c>
      <c r="B29" s="11">
        <f>B28/B26-1</f>
        <v>-0.364224821259295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0.054811</v>
      </c>
      <c r="B5" s="31">
        <v>221.4457860841519</v>
      </c>
      <c r="C5" s="31">
        <v>231.81659570695714</v>
      </c>
      <c r="D5" s="31">
        <v>246.21608365504184</v>
      </c>
      <c r="E5" s="31">
        <v>267.0798702129248</v>
      </c>
      <c r="F5" s="31">
        <v>299.30243214336264</v>
      </c>
    </row>
    <row r="6" spans="1:6" x14ac:dyDescent="0.25">
      <c r="A6" s="30">
        <v>0.064811</v>
      </c>
      <c r="B6" s="31">
        <v>177.06229786637425</v>
      </c>
      <c r="C6" s="31">
        <v>180.85712197631625</v>
      </c>
      <c r="D6" s="31">
        <v>185.99452634962068</v>
      </c>
      <c r="E6" s="31">
        <v>193.05302651156526</v>
      </c>
      <c r="F6" s="31">
        <v>202.999260174055</v>
      </c>
    </row>
    <row r="7" spans="1:6" x14ac:dyDescent="0.25">
      <c r="A7" s="30">
        <v>0.074811</v>
      </c>
      <c r="B7" s="31">
        <v>147.40256309430757</v>
      </c>
      <c r="C7" s="31">
        <v>148.3298776024031</v>
      </c>
      <c r="D7" s="32">
        <v>149.7379320504419</v>
      </c>
      <c r="E7" s="31">
        <v>151.78764895966108</v>
      </c>
      <c r="F7" s="31">
        <v>154.72079409624834</v>
      </c>
    </row>
    <row r="8" spans="1:6" x14ac:dyDescent="0.25">
      <c r="A8" s="30">
        <v>0.084811</v>
      </c>
      <c r="B8" s="31">
        <v>126.14579175885355</v>
      </c>
      <c r="C8" s="31">
        <v>125.71202374922969</v>
      </c>
      <c r="D8" s="31">
        <v>125.43815119530652</v>
      </c>
      <c r="E8" s="31">
        <v>125.36793231779741</v>
      </c>
      <c r="F8" s="31">
        <v>125.56269503917339</v>
      </c>
    </row>
    <row r="9" spans="1:6" x14ac:dyDescent="0.25">
      <c r="A9" s="30">
        <v>0.094811</v>
      </c>
      <c r="B9" s="31">
        <v>110.13863281908671</v>
      </c>
      <c r="C9" s="31">
        <v>109.03708484439198</v>
      </c>
      <c r="D9" s="31">
        <v>107.96656094744253</v>
      </c>
      <c r="E9" s="31">
        <v>106.93424140884163</v>
      </c>
      <c r="F9" s="31">
        <v>105.94970749917879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184432000000</v>
      </c>
      <c r="C5" s="18">
        <v>193414000000</v>
      </c>
      <c r="D5" s="18">
        <v>196913000000</v>
      </c>
      <c r="E5" s="18">
        <v>235717000000</v>
      </c>
      <c r="F5" s="6" t="s">
        <v>91</v>
      </c>
    </row>
    <row r="6" spans="1:6" x14ac:dyDescent="0.25">
      <c r="A6" t="s">
        <v>51</v>
      </c>
      <c r="B6" s="18">
        <v>16674000000</v>
      </c>
      <c r="C6" s="18">
        <v>18917000000</v>
      </c>
      <c r="D6" s="18">
        <v>26229000000</v>
      </c>
      <c r="E6" s="18">
        <v>39950000000</v>
      </c>
      <c r="F6" s="6" t="s">
        <v>92</v>
      </c>
    </row>
    <row r="7" spans="1:6" x14ac:dyDescent="0.25">
      <c r="A7" t="s">
        <v>93</v>
      </c>
      <c r="B7" s="18">
        <v>20132000000</v>
      </c>
      <c r="C7" s="18">
        <v>17282000000</v>
      </c>
      <c r="D7" s="18">
        <v>17326000000</v>
      </c>
      <c r="E7" s="18">
        <v>14809000000</v>
      </c>
      <c r="F7" s="6" t="s">
        <v>94</v>
      </c>
    </row>
    <row r="8" spans="1:6" x14ac:dyDescent="0.25">
      <c r="A8" t="s">
        <v>95</v>
      </c>
      <c r="B8" s="18">
        <v>17347000000</v>
      </c>
      <c r="C8" s="18">
        <v>16448000000</v>
      </c>
      <c r="D8" s="18">
        <v>15829000000</v>
      </c>
      <c r="E8" s="18">
        <v>11974000000</v>
      </c>
      <c r="F8" s="6" t="s">
        <v>96</v>
      </c>
    </row>
    <row r="9" spans="1:6" x14ac:dyDescent="0.25">
      <c r="A9" t="s">
        <v>97</v>
      </c>
      <c r="B9" s="18">
        <v>1648000000</v>
      </c>
      <c r="C9" s="18">
        <v>-100000000</v>
      </c>
      <c r="D9" s="18">
        <v>3335000000</v>
      </c>
      <c r="E9" s="18">
        <v>-2066000000</v>
      </c>
      <c r="F9" s="6" t="s">
        <v>98</v>
      </c>
    </row>
    <row r="10" spans="1:6" x14ac:dyDescent="0.25">
      <c r="A10" t="s">
        <v>99</v>
      </c>
      <c r="B10" s="18">
        <v>40758000000</v>
      </c>
      <c r="C10" s="18">
        <v>24541000000</v>
      </c>
      <c r="D10" s="18">
        <v>20836000000</v>
      </c>
      <c r="E10" s="18">
        <v>23339000000</v>
      </c>
      <c r="F10" s="6" t="s">
        <v>100</v>
      </c>
    </row>
    <row r="11" spans="1:6" x14ac:dyDescent="0.25">
      <c r="A11" t="s">
        <v>101</v>
      </c>
      <c r="B11" s="18">
        <v>6297000000</v>
      </c>
      <c r="C11" s="18">
        <v>6785000000</v>
      </c>
      <c r="D11" s="18">
        <v>8223000000</v>
      </c>
      <c r="E11" s="18">
        <v>17901000000</v>
      </c>
      <c r="F11" s="6" t="s">
        <v>102</v>
      </c>
    </row>
    <row r="12" spans="1:6" x14ac:dyDescent="0.25">
      <c r="A12" t="s">
        <v>34</v>
      </c>
      <c r="B12" s="34">
        <v>1855637000</v>
      </c>
      <c r="C12" s="34">
        <v>1816602000</v>
      </c>
      <c r="D12" s="34">
        <v>1880307000</v>
      </c>
      <c r="E12" s="34">
        <v>1940277000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