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<sst xmlns="http://schemas.openxmlformats.org/spreadsheetml/2006/main" count="111" uniqueCount="99">
  <si>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Chevron Corporation (CVX)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</si>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</sst>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-0.07852874895364959</v>
      </c>
    </row>
    <row r="7" spans="1:2" x14ac:dyDescent="0.25">
      <c r="A7" t="s">
        <v>5</v>
      </c>
      <c r="B7" s="6">
        <v>0.1227242253353801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0.08733064236934929</v>
      </c>
    </row>
    <row r="10" spans="1:2" x14ac:dyDescent="0.25">
      <c r="A10" t="s">
        <v>8</v>
      </c>
      <c r="B10" s="6">
        <v>0.07757017067962929</v>
      </c>
    </row>
    <row r="11" spans="1:2" x14ac:dyDescent="0.25">
      <c r="A11" t="s">
        <v>9</v>
      </c>
      <c r="B11" s="6">
        <v>-0.0859447479641274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12.10227958311145</v>
      </c>
    </row>
    <row r="14" spans="1:3" x14ac:dyDescent="0.25">
      <c r="A14" t="s">
        <v>12</v>
      </c>
      <c r="B14" s="6">
        <v>0.09958418770332035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0.6589700000000001</v>
      </c>
      <c r="C19" s="8" t="s">
        <v>19</v>
      </c>
    </row>
    <row r="20" spans="1:2" x14ac:dyDescent="0.25">
      <c r="A20" t="s">
        <v>20</v>
      </c>
      <c r="B20" s="10">
        <f>B17+B19*B18</f>
        <v>0.08622335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410975502336</v>
      </c>
    </row>
    <row r="23" spans="1:2" x14ac:dyDescent="0.25">
      <c r="A23" t="s">
        <v>24</v>
      </c>
      <c r="B23" s="11">
        <v>40758000000</v>
      </c>
    </row>
    <row r="24" spans="1:2" x14ac:dyDescent="0.25">
      <c r="A24" t="s">
        <v>25</v>
      </c>
      <c r="B24" s="10">
        <f>B22/(B22+B23)</f>
        <v>0.9097742368249585</v>
      </c>
    </row>
    <row r="25" spans="1:2" x14ac:dyDescent="0.25">
      <c r="A25" t="s">
        <v>26</v>
      </c>
      <c r="B25" s="10">
        <f>1-B24</f>
        <v>0.0902257631750415</v>
      </c>
    </row>
    <row r="26" spans="1:2" x14ac:dyDescent="0.25">
      <c r="A26" t="s">
        <v>27</v>
      </c>
      <c r="B26" s="12">
        <f>B24*B20+B25*B21*(1-B8)</f>
        <v>0.08200627452109727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184432000000</v>
      </c>
      <c r="C29" s="8" t="s">
        <v>30</v>
      </c>
    </row>
    <row r="30" spans="1:2" x14ac:dyDescent="0.25">
      <c r="A30" t="s">
        <v>31</v>
      </c>
      <c r="B30" s="11">
        <v>34461000000</v>
      </c>
    </row>
    <row r="31" spans="1:2" x14ac:dyDescent="0.25">
      <c r="A31" t="s">
        <v>32</v>
      </c>
      <c r="B31" s="13">
        <v>1855637000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-0.07852874895364959</v>
      </c>
      <c r="C5" s="10">
        <f>Assumptions!B6</f>
        <v>-0.07852874895364959</v>
      </c>
      <c r="D5" s="10">
        <f>Assumptions!B6</f>
        <v>-0.07852874895364959</v>
      </c>
      <c r="E5" s="10">
        <f>Assumptions!B6</f>
        <v>-0.07852874895364959</v>
      </c>
      <c r="F5" s="10">
        <f>Assumptions!B6</f>
        <v>-0.07852874895364959</v>
      </c>
    </row>
    <row r="6" spans="1:6" x14ac:dyDescent="0.25">
      <c r="A6" t="s">
        <v>43</v>
      </c>
      <c r="B6" s="18">
        <f>Assumptions!B29*(1+B5)</f>
        <v>169948785772.9805</v>
      </c>
      <c r="C6" s="18">
        <f>B6*(1+C5)</f>
        <v>156602920240.03653</v>
      </c>
      <c r="D6" s="18">
        <f>C6*(1+D5)</f>
        <v>144305088831.0983</v>
      </c>
      <c r="E6" s="18">
        <f>D6*(1+E5)</f>
        <v>132972990737.54688</v>
      </c>
      <c r="F6" s="18">
        <f>E6*(1+F5)</f>
        <v>122530788130.30208</v>
      </c>
    </row>
    <row r="7" spans="1:6" x14ac:dyDescent="0.25">
      <c r="A7" t="s">
        <v>5</v>
      </c>
      <c r="B7" s="10">
        <f>Assumptions!B7</f>
        <v>0.1227242253353801</v>
      </c>
      <c r="C7" s="10">
        <f>Assumptions!B7</f>
        <v>0.1227242253353801</v>
      </c>
      <c r="D7" s="10">
        <f>Assumptions!B7</f>
        <v>0.1227242253353801</v>
      </c>
      <c r="E7" s="10">
        <f>Assumptions!B7</f>
        <v>0.1227242253353801</v>
      </c>
      <c r="F7" s="10">
        <f>Assumptions!B7</f>
        <v>0.1227242253353801</v>
      </c>
    </row>
    <row r="8" spans="1:6" x14ac:dyDescent="0.25">
      <c r="A8" t="s">
        <v>44</v>
      </c>
      <c r="B8" s="18">
        <f>B6*B7</f>
        <v>20856833080.677498</v>
      </c>
      <c r="C8" s="18">
        <f>C6*C7</f>
        <v>19218972071.7168</v>
      </c>
      <c r="D8" s="18">
        <f>D6*D7</f>
        <v>17709730238.749752</v>
      </c>
      <c r="E8" s="18">
        <f>E6*E7</f>
        <v>16319007278.794115</v>
      </c>
      <c r="F8" s="18">
        <f>F6*F7</f>
        <v>15037496053.02491</v>
      </c>
    </row>
    <row r="9" spans="1:6" x14ac:dyDescent="0.25">
      <c r="A9" t="s">
        <v>45</v>
      </c>
      <c r="B9" s="18">
        <f>B8*(1-Assumptions!B8)</f>
        <v>16476898133.735224</v>
      </c>
      <c r="C9" s="18">
        <f>C8*(1-Assumptions!B8)</f>
        <v>15182987936.656273</v>
      </c>
      <c r="D9" s="18">
        <f>D8*(1-Assumptions!B8)</f>
        <v>13990686888.612305</v>
      </c>
      <c r="E9" s="18">
        <f>E8*(1-Assumptions!B8)</f>
        <v>12892015750.24735</v>
      </c>
      <c r="F9" s="18">
        <f>F8*(1-Assumptions!B8)</f>
        <v>11879621881.889679</v>
      </c>
    </row>
    <row r="10" spans="1:6" x14ac:dyDescent="0.25">
      <c r="A10" t="s">
        <v>46</v>
      </c>
      <c r="B10" s="18">
        <f>B6*Assumptions!B9</f>
        <v>14841736631.445316</v>
      </c>
      <c r="C10" s="18">
        <f>C6*Assumptions!B9</f>
        <v>13676233621.478361</v>
      </c>
      <c r="D10" s="18">
        <f>D6*Assumptions!B9</f>
        <v>12602256104.785826</v>
      </c>
      <c r="E10" s="18">
        <f>E6*Assumptions!B9</f>
        <v>11612616698.883501</v>
      </c>
      <c r="F10" s="18">
        <f>F6*Assumptions!B9</f>
        <v>10700692437.44192</v>
      </c>
    </row>
    <row r="11" spans="1:6" x14ac:dyDescent="0.25">
      <c r="A11" t="s">
        <v>47</v>
      </c>
      <c r="B11" s="18">
        <f>-B6*Assumptions!B10</f>
        <v>-13182956319.20585</v>
      </c>
      <c r="C11" s="18">
        <f>-C6*Assumptions!B10</f>
        <v>-12147715251.948006</v>
      </c>
      <c r="D11" s="18">
        <f>-D6*Assumptions!B10</f>
        <v>-11193770370.567362</v>
      </c>
      <c r="E11" s="18">
        <f>-E6*Assumptions!B10</f>
        <v>-10314737587.292276</v>
      </c>
      <c r="F11" s="18">
        <f>-F6*Assumptions!B10</f>
        <v>-9504734148.777027</v>
      </c>
    </row>
    <row r="12" spans="1:6" x14ac:dyDescent="0.25">
      <c r="A12" t="s">
        <v>48</v>
      </c>
      <c r="B12" s="18">
        <f>-(B6-Assumptions!B29)*Assumptions!B11</f>
        <v>-1244756196.4516554</v>
      </c>
      <c r="C12" s="18">
        <f>-(C6-B6)*Assumptions!B11</f>
        <v>-1147007049.5920043</v>
      </c>
      <c r="D12" s="18">
        <f>-(D6-C6)*Assumptions!B11</f>
        <v>-1056934020.9465262</v>
      </c>
      <c r="E12" s="18">
        <f>-(E6-D6)*Assumptions!B11</f>
        <v>-973934314.5550456</v>
      </c>
      <c r="F12" s="18">
        <f>-(F6-E6)*Assumptions!B11</f>
        <v>-897452471.2700081</v>
      </c>
    </row>
    <row r="13" spans="1:6" x14ac:dyDescent="0.25">
      <c r="A13" s="19" t="s">
        <v>49</v>
      </c>
      <c r="B13" s="20">
        <f>B9+B10+B11+B12</f>
        <v>16890922249.523037</v>
      </c>
      <c r="C13" s="20">
        <f>C9+C10+C11+C12</f>
        <v>15564499256.594625</v>
      </c>
      <c r="D13" s="20">
        <f>D9+D10+D11+D12</f>
        <v>14342238601.884245</v>
      </c>
      <c r="E13" s="20">
        <f>E9+E10+E11+E12</f>
        <v>13215960547.28353</v>
      </c>
      <c r="F13" s="20">
        <f>F9+F10+F11+F12</f>
        <v>12178127699.284561</v>
      </c>
    </row>
    <row r="14" spans="1:6" x14ac:dyDescent="0.25">
      <c r="A14" t="s">
        <v>50</v>
      </c>
      <c r="B14" s="21">
        <f>1/(1+Assumptions!$B$26)^(1-0.5*Assumptions!$B$32)</f>
        <v>0.9613579241125245</v>
      </c>
      <c r="C14" s="21">
        <f>1/(1+Assumptions!$B$26)^(2-0.5*Assumptions!$B$32)</f>
        <v>0.8884957016890014</v>
      </c>
      <c r="D14" s="21">
        <f>1/(1+Assumptions!$B$26)^(3-0.5*Assumptions!$B$32)</f>
        <v>0.8211557757206678</v>
      </c>
      <c r="E14" s="21">
        <f>1/(1+Assumptions!$B$26)^(4-0.5*Assumptions!$B$32)</f>
        <v>0.758919606158584</v>
      </c>
      <c r="F14" s="21">
        <f>1/(1+Assumptions!$B$26)^(5-0.5*Assumptions!$B$32)</f>
        <v>0.7014003744982779</v>
      </c>
    </row>
    <row r="15" spans="1:6" x14ac:dyDescent="0.25">
      <c r="A15" s="19" t="s">
        <v>51</v>
      </c>
      <c r="B15" s="20">
        <f>B13*B14</f>
        <v>16238221950.14752</v>
      </c>
      <c r="C15" s="20">
        <f>C13*C14</f>
        <v>13828990688.425982</v>
      </c>
      <c r="D15" s="20">
        <f>D13*D14</f>
        <v>11777212064.701162</v>
      </c>
      <c r="E15" s="20">
        <f>E13*E14</f>
        <v>10029851573.5518</v>
      </c>
      <c r="F15" s="20">
        <f>F13*F14</f>
        <v>8541743328.9660425</v>
      </c>
    </row>
    <row r="17" spans="1:2" x14ac:dyDescent="0.25">
      <c r="A17" s="22" t="s">
        <v>52</v>
      </c>
      <c r="B17" s="23">
        <f>SUM(B15:F15)</f>
        <v>60416019605.7925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12178127699.284561</v>
      </c>
    </row>
    <row r="5" spans="1:2" x14ac:dyDescent="0.25">
      <c r="A5" t="s">
        <v>56</v>
      </c>
      <c r="B5" s="18">
        <f>IF(Assumptions!$B$33=0,B4,B4-Forecast!F11-Forecast!F10-Forecast!F12)</f>
        <v>11879621881.889679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0.25104387128687145</v>
      </c>
    </row>
    <row r="7" spans="1:2" x14ac:dyDescent="0.25">
      <c r="A7" t="s">
        <v>58</v>
      </c>
      <c r="B7" s="18">
        <f>-MAX(Forecast!F9,0)*B6</f>
        <v>-2982306266.6538143</v>
      </c>
    </row>
    <row r="8" spans="1:2" x14ac:dyDescent="0.25">
      <c r="A8" t="s">
        <v>59</v>
      </c>
      <c r="B8" s="18">
        <f>IF(OR(Assumptions!$B$33=0,Assumptions!B12&lt;=0),B5,MAX(B5+B7,0))</f>
        <v>8897315615.235865</v>
      </c>
    </row>
    <row r="9" spans="1:2" x14ac:dyDescent="0.25">
      <c r="A9" t="s">
        <v>60</v>
      </c>
      <c r="B9" s="18">
        <f>B8*(1+Assumptions!B12)/(Assumptions!B26-Assumptions!B12)</f>
        <v>159977977551.2547</v>
      </c>
    </row>
    <row r="10" spans="1:2" x14ac:dyDescent="0.25">
      <c r="A10" t="s">
        <v>61</v>
      </c>
      <c r="B10" s="18">
        <f>B9/(1+Assumptions!B26)^(5-0.5*Assumptions!B32)</f>
        <v>112208613365.92714</v>
      </c>
    </row>
    <row r="11" spans="1:2" x14ac:dyDescent="0.25">
      <c r="A11" t="s">
        <v>62</v>
      </c>
      <c r="B11" s="18">
        <f>Forecast!B17+B10</f>
        <v>172624632971.71964</v>
      </c>
    </row>
    <row r="12" spans="1:2" x14ac:dyDescent="0.25">
      <c r="A12" t="s">
        <v>63</v>
      </c>
      <c r="B12" s="18">
        <f>-Assumptions!B30</f>
        <v>-34461000000</v>
      </c>
    </row>
    <row r="13" spans="1:2" x14ac:dyDescent="0.25">
      <c r="A13" t="s">
        <v>64</v>
      </c>
      <c r="B13" s="18">
        <f>B11+B12</f>
        <v>138163632971.71964</v>
      </c>
    </row>
    <row r="14" spans="1:2" x14ac:dyDescent="0.25">
      <c r="A14" s="19" t="s">
        <v>65</v>
      </c>
      <c r="B14" s="24">
        <f>B13/Assumptions!B31</f>
        <v>74.45617487241289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25738188490.466827</v>
      </c>
    </row>
    <row r="18" spans="1:2" x14ac:dyDescent="0.25">
      <c r="A18" t="s">
        <v>60</v>
      </c>
      <c r="B18" s="18">
        <f>B17*Assumptions!B13</f>
        <v>311490753074.4508</v>
      </c>
    </row>
    <row r="19" spans="1:2" x14ac:dyDescent="0.25">
      <c r="A19" t="s">
        <v>61</v>
      </c>
      <c r="B19" s="18">
        <f>B18/(1+Assumptions!B26)^(5-0.5*Assumptions!B32)</f>
        <v>218479730859.17038</v>
      </c>
    </row>
    <row r="20" spans="1:2" x14ac:dyDescent="0.25">
      <c r="A20" t="s">
        <v>62</v>
      </c>
      <c r="B20" s="18">
        <f>Forecast!B17+B19</f>
        <v>278895750464.9629</v>
      </c>
    </row>
    <row r="21" spans="1:2" x14ac:dyDescent="0.25">
      <c r="A21" t="s">
        <v>63</v>
      </c>
      <c r="B21" s="18">
        <f>-Assumptions!B30</f>
        <v>-34461000000</v>
      </c>
    </row>
    <row r="22" spans="1:2" x14ac:dyDescent="0.25">
      <c r="A22" t="s">
        <v>64</v>
      </c>
      <c r="B22" s="18">
        <f>B20+B21</f>
        <v>244434750464.9629</v>
      </c>
    </row>
    <row r="23" spans="1:2" x14ac:dyDescent="0.25">
      <c r="A23" s="19" t="s">
        <v>65</v>
      </c>
      <c r="B23" s="25">
        <f>B22/Assumptions!B31</f>
        <v>131.72552092082822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209.51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74.45617487241289</v>
      </c>
    </row>
    <row r="29" spans="1:2" x14ac:dyDescent="0.25">
      <c r="A29" s="19" t="s">
        <v>73</v>
      </c>
      <c r="B29" s="12">
        <f>B28/B26-1</f>
        <v>-0.64461756062998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0.062006</v>
      </c>
      <c r="B5" s="31">
        <v>104.91894628005825</v>
      </c>
      <c r="C5" s="31">
        <v>110.11997050791355</v>
      </c>
      <c r="D5" s="31">
        <v>116.66018992213208</v>
      </c>
      <c r="E5" s="31">
        <v>125.16723458568471</v>
      </c>
      <c r="F5" s="31">
        <v>136.73354242866156</v>
      </c>
    </row>
    <row r="6" spans="1:6" x14ac:dyDescent="0.25">
      <c r="A6" s="30">
        <v>0.072006</v>
      </c>
      <c r="B6" s="31">
        <v>85.46177426514292</v>
      </c>
      <c r="C6" s="31">
        <v>88.0410251196382</v>
      </c>
      <c r="D6" s="31">
        <v>91.11897367243206</v>
      </c>
      <c r="E6" s="31">
        <v>94.87370080421965</v>
      </c>
      <c r="F6" s="31">
        <v>99.57953172401854</v>
      </c>
    </row>
    <row r="7" spans="1:6" x14ac:dyDescent="0.25">
      <c r="A7" s="30">
        <v>0.082006</v>
      </c>
      <c r="B7" s="31">
        <v>71.76044658612135</v>
      </c>
      <c r="C7" s="31">
        <v>73.01797632813077</v>
      </c>
      <c r="D7" s="32">
        <v>74.4565531364278</v>
      </c>
      <c r="E7" s="31">
        <v>76.12839610100815</v>
      </c>
      <c r="F7" s="31">
        <v>78.10794236488012</v>
      </c>
    </row>
    <row r="8" spans="1:6" x14ac:dyDescent="0.25">
      <c r="A8" s="30">
        <v>0.092006</v>
      </c>
      <c r="B8" s="31">
        <v>61.57482729497293</v>
      </c>
      <c r="C8" s="31">
        <v>62.1139671846897</v>
      </c>
      <c r="D8" s="31">
        <v>62.7012863250803</v>
      </c>
      <c r="E8" s="31">
        <v>63.34843985855202</v>
      </c>
      <c r="F8" s="31">
        <v>64.07117202073302</v>
      </c>
    </row>
    <row r="9" spans="1:6" x14ac:dyDescent="0.25">
      <c r="A9" s="30">
        <v>0.102006</v>
      </c>
      <c r="B9" s="31">
        <v>53.86704650574591</v>
      </c>
      <c r="C9" s="31">
        <v>54.06973358519034</v>
      </c>
      <c r="D9" s="31">
        <v>54.27242066463479</v>
      </c>
      <c r="E9" s="31">
        <v>54.47510774407922</v>
      </c>
      <c r="F9" s="31">
        <v>54.677794823523655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184432000000</v>
      </c>
      <c r="C5" s="18">
        <v>193414000000</v>
      </c>
      <c r="D5" s="18">
        <v>196913000000</v>
      </c>
      <c r="E5" s="18">
        <v>235717000000</v>
      </c>
      <c r="F5" s="8" t="s">
        <v>84</v>
      </c>
    </row>
    <row r="6" spans="1:6" x14ac:dyDescent="0.25">
      <c r="A6" t="s">
        <v>44</v>
      </c>
      <c r="B6" s="18">
        <v>16674000000</v>
      </c>
      <c r="C6" s="18">
        <v>18917000000</v>
      </c>
      <c r="D6" s="18">
        <v>26229000000</v>
      </c>
      <c r="E6" s="18">
        <v>39950000000</v>
      </c>
      <c r="F6" s="8" t="s">
        <v>85</v>
      </c>
    </row>
    <row r="7" spans="1:6" x14ac:dyDescent="0.25">
      <c r="A7" t="s">
        <v>86</v>
      </c>
      <c r="B7" s="18">
        <v>20132000000</v>
      </c>
      <c r="C7" s="18">
        <v>17282000000</v>
      </c>
      <c r="D7" s="18">
        <v>17326000000</v>
      </c>
      <c r="E7" s="18">
        <v>14809000000</v>
      </c>
      <c r="F7" s="8" t="s">
        <v>87</v>
      </c>
    </row>
    <row r="8" spans="1:6" x14ac:dyDescent="0.25">
      <c r="A8" t="s">
        <v>88</v>
      </c>
      <c r="B8" s="18">
        <v>17347000000</v>
      </c>
      <c r="C8" s="18">
        <v>16448000000</v>
      </c>
      <c r="D8" s="18">
        <v>15829000000</v>
      </c>
      <c r="E8" s="18">
        <v>11974000000</v>
      </c>
      <c r="F8" s="8" t="s">
        <v>89</v>
      </c>
    </row>
    <row r="9" spans="1:6" x14ac:dyDescent="0.25">
      <c r="A9" t="s">
        <v>90</v>
      </c>
      <c r="B9" s="18">
        <v>1648000000</v>
      </c>
      <c r="C9" s="18">
        <v>-100000000</v>
      </c>
      <c r="D9" s="18">
        <v>3335000000</v>
      </c>
      <c r="E9" s="18">
        <v>-2066000000</v>
      </c>
      <c r="F9" s="8" t="s">
        <v>91</v>
      </c>
    </row>
    <row r="10" spans="1:6" x14ac:dyDescent="0.25">
      <c r="A10" t="s">
        <v>92</v>
      </c>
      <c r="B10" s="18">
        <v>40758000000</v>
      </c>
      <c r="C10" s="18">
        <v>24541000000</v>
      </c>
      <c r="D10" s="18">
        <v>20836000000</v>
      </c>
      <c r="E10" s="18">
        <v>23339000000</v>
      </c>
      <c r="F10" s="8" t="s">
        <v>93</v>
      </c>
    </row>
    <row r="11" spans="1:6" x14ac:dyDescent="0.25">
      <c r="A11" t="s">
        <v>94</v>
      </c>
      <c r="B11" s="18">
        <v>6297000000</v>
      </c>
      <c r="C11" s="18">
        <v>6785000000</v>
      </c>
      <c r="D11" s="18">
        <v>8223000000</v>
      </c>
      <c r="E11" s="18">
        <v>17901000000</v>
      </c>
      <c r="F11" s="8" t="s">
        <v>95</v>
      </c>
    </row>
    <row r="12" spans="1:6" x14ac:dyDescent="0.25">
      <c r="A12" t="s">
        <v>32</v>
      </c>
      <c r="B12" s="34">
        <v>1855637000</v>
      </c>
      <c r="C12" s="34">
        <v>1816602000</v>
      </c>
      <c r="D12" s="34">
        <v>1880307000</v>
      </c>
      <c r="E12" s="34">
        <v>1940277000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