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<sst xmlns="http://schemas.openxmlformats.org/spreadsheetml/2006/main" count="112" uniqueCount="100">
  <si>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Cleanaway Waste Management Limited (CWY.AX)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</si>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</sst>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0.07029476711604565</v>
      </c>
    </row>
    <row r="7" spans="1:2" x14ac:dyDescent="0.25">
      <c r="A7" t="s">
        <v>5</v>
      </c>
      <c r="B7" s="6">
        <v>0.060478967588689245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0.10048830033504538</v>
      </c>
    </row>
    <row r="10" spans="1:2" x14ac:dyDescent="0.25">
      <c r="A10" t="s">
        <v>8</v>
      </c>
      <c r="B10" s="6">
        <v>0.09585986198064957</v>
      </c>
    </row>
    <row r="11" spans="1:2" x14ac:dyDescent="0.25">
      <c r="A11" t="s">
        <v>9</v>
      </c>
      <c r="B11" s="6">
        <v>0.07495107632093934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12.357699682827368</v>
      </c>
    </row>
    <row r="14" spans="1:3" x14ac:dyDescent="0.25">
      <c r="A14" t="s">
        <v>12</v>
      </c>
      <c r="B14" s="6">
        <v>0.08138475157994698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0.69448</v>
      </c>
      <c r="C19" s="8" t="s">
        <v>19</v>
      </c>
    </row>
    <row r="20" spans="1:2" x14ac:dyDescent="0.25">
      <c r="A20" t="s">
        <v>20</v>
      </c>
      <c r="B20" s="10">
        <f>B17+B19*B18</f>
        <v>0.0951488</v>
      </c>
    </row>
    <row r="21" spans="1:3" x14ac:dyDescent="0.25">
      <c r="A21" t="s">
        <v>21</v>
      </c>
      <c r="B21" s="6">
        <v>0.06604183776994058</v>
      </c>
      <c r="C21" s="8" t="s">
        <v>22</v>
      </c>
    </row>
    <row r="22" spans="1:2" x14ac:dyDescent="0.25">
      <c r="A22" t="s">
        <v>23</v>
      </c>
      <c r="B22" s="11">
        <v>5963432960</v>
      </c>
    </row>
    <row r="23" spans="1:2" x14ac:dyDescent="0.25">
      <c r="A23" t="s">
        <v>24</v>
      </c>
      <c r="B23" s="11">
        <v>2334800000</v>
      </c>
    </row>
    <row r="24" spans="1:2" x14ac:dyDescent="0.25">
      <c r="A24" t="s">
        <v>25</v>
      </c>
      <c r="B24" s="10">
        <f>B22/(B22+B23)</f>
        <v>0.7186388944183124</v>
      </c>
    </row>
    <row r="25" spans="1:2" x14ac:dyDescent="0.25">
      <c r="A25" t="s">
        <v>26</v>
      </c>
      <c r="B25" s="10">
        <f>1-B24</f>
        <v>0.2813611055816876</v>
      </c>
    </row>
    <row r="26" spans="1:2" x14ac:dyDescent="0.25">
      <c r="A26" t="s">
        <v>27</v>
      </c>
      <c r="B26" s="12">
        <f>B24*B20+B25*B21*(1-B8)</f>
        <v>0.08138475157994698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4299900000</v>
      </c>
      <c r="C29" s="8" t="s">
        <v>30</v>
      </c>
    </row>
    <row r="30" spans="1:2" x14ac:dyDescent="0.25">
      <c r="A30" t="s">
        <v>31</v>
      </c>
      <c r="B30" s="11">
        <v>2218600000</v>
      </c>
    </row>
    <row r="31" spans="1:2" x14ac:dyDescent="0.25">
      <c r="A31" t="s">
        <v>32</v>
      </c>
      <c r="B31" s="13">
        <v>2238043731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0.07029476711604565</v>
      </c>
      <c r="C5" s="10">
        <f>Assumptions!B6</f>
        <v>0.07029476711604565</v>
      </c>
      <c r="D5" s="10">
        <f>Assumptions!B6</f>
        <v>0.07029476711604565</v>
      </c>
      <c r="E5" s="10">
        <f>Assumptions!B6</f>
        <v>0.07029476711604565</v>
      </c>
      <c r="F5" s="10">
        <f>Assumptions!B6</f>
        <v>0.07029476711604565</v>
      </c>
    </row>
    <row r="6" spans="1:6" x14ac:dyDescent="0.25">
      <c r="A6" t="s">
        <v>43</v>
      </c>
      <c r="B6" s="18">
        <f>Assumptions!B29*(1+B5)</f>
        <v>4602160469.122285</v>
      </c>
      <c r="C6" s="18">
        <f>B6*(1+C5)</f>
        <v>4925668267.529907</v>
      </c>
      <c r="D6" s="18">
        <f>C6*(1+D5)</f>
        <v>5271916971.2868185</v>
      </c>
      <c r="E6" s="18">
        <f>D6*(1+E5)</f>
        <v>5642505147.038554</v>
      </c>
      <c r="F6" s="18">
        <f>E6*(1+F5)</f>
        <v>6039143732.300718</v>
      </c>
    </row>
    <row r="7" spans="1:6" x14ac:dyDescent="0.25">
      <c r="A7" t="s">
        <v>5</v>
      </c>
      <c r="B7" s="10">
        <f>Assumptions!B7</f>
        <v>0.060478967588689245</v>
      </c>
      <c r="C7" s="10">
        <f>Assumptions!B7</f>
        <v>0.060478967588689245</v>
      </c>
      <c r="D7" s="10">
        <f>Assumptions!B7</f>
        <v>0.060478967588689245</v>
      </c>
      <c r="E7" s="10">
        <f>Assumptions!B7</f>
        <v>0.060478967588689245</v>
      </c>
      <c r="F7" s="10">
        <f>Assumptions!B7</f>
        <v>0.060478967588689245</v>
      </c>
    </row>
    <row r="8" spans="1:6" x14ac:dyDescent="0.25">
      <c r="A8" t="s">
        <v>44</v>
      </c>
      <c r="B8" s="18">
        <f>B6*B7</f>
        <v>278333913.8499936</v>
      </c>
      <c r="C8" s="18">
        <f>C6*C7</f>
        <v>297899331.5045764</v>
      </c>
      <c r="D8" s="18">
        <f>D6*D7</f>
        <v>318840095.63671625</v>
      </c>
      <c r="E8" s="18">
        <f>E6*E7</f>
        <v>341252885.90675694</v>
      </c>
      <c r="F8" s="18">
        <f>F6*F7</f>
        <v>365241178.04925096</v>
      </c>
    </row>
    <row r="9" spans="1:6" x14ac:dyDescent="0.25">
      <c r="A9" t="s">
        <v>45</v>
      </c>
      <c r="B9" s="18">
        <f>B8*(1-Assumptions!B8)</f>
        <v>194833739.6949955</v>
      </c>
      <c r="C9" s="18">
        <f>C8*(1-Assumptions!B8)</f>
        <v>208529532.05320346</v>
      </c>
      <c r="D9" s="18">
        <f>D8*(1-Assumptions!B8)</f>
        <v>223188066.94570136</v>
      </c>
      <c r="E9" s="18">
        <f>E8*(1-Assumptions!B8)</f>
        <v>238877020.13472983</v>
      </c>
      <c r="F9" s="18">
        <f>F8*(1-Assumptions!B8)</f>
        <v>255668824.63447565</v>
      </c>
    </row>
    <row r="10" spans="1:6" x14ac:dyDescent="0.25">
      <c r="A10" t="s">
        <v>46</v>
      </c>
      <c r="B10" s="18">
        <f>B6*Assumptions!B9</f>
        <v>462463283.41123354</v>
      </c>
      <c r="C10" s="18">
        <f>C6*Assumptions!B9</f>
        <v>494972032.21834797</v>
      </c>
      <c r="D10" s="18">
        <f>D6*Assumptions!B9</f>
        <v>529765975.95209265</v>
      </c>
      <c r="E10" s="18">
        <f>E6*Assumptions!B9</f>
        <v>567005751.8576497</v>
      </c>
      <c r="F10" s="18">
        <f>F6*Assumptions!B9</f>
        <v>606863289.1379415</v>
      </c>
    </row>
    <row r="11" spans="1:6" x14ac:dyDescent="0.25">
      <c r="A11" t="s">
        <v>47</v>
      </c>
      <c r="B11" s="18">
        <f>-B6*Assumptions!B10</f>
        <v>-441162467.3828637</v>
      </c>
      <c r="C11" s="18">
        <f>-C6*Assumptions!B10</f>
        <v>-472173880.28788215</v>
      </c>
      <c r="D11" s="18">
        <f>-D6*Assumptions!B10</f>
        <v>-505365233.2409985</v>
      </c>
      <c r="E11" s="18">
        <f>-E6*Assumptions!B10</f>
        <v>-540889764.6202205</v>
      </c>
      <c r="F11" s="18">
        <f>-F6*Assumptions!B10</f>
        <v>-578911484.6596518</v>
      </c>
    </row>
    <row r="12" spans="1:6" x14ac:dyDescent="0.25">
      <c r="A12" t="s">
        <v>48</v>
      </c>
      <c r="B12" s="18">
        <f>-(B6-Assumptions!B29)*Assumptions!B11</f>
        <v>-22654747.489987303</v>
      </c>
      <c r="C12" s="18">
        <f>-(C6-B6)*Assumptions!B11</f>
        <v>-24247257.688868757</v>
      </c>
      <c r="D12" s="18">
        <f>-(D6-C6)*Assumptions!B11</f>
        <v>-25951713.02131057</v>
      </c>
      <c r="E12" s="18">
        <f>-(E6-D6)*Assumptions!B11</f>
        <v>-27775982.64440602</v>
      </c>
      <c r="F12" s="18">
        <f>-(F6-E6)*Assumptions!B11</f>
        <v>-29728488.875813868</v>
      </c>
    </row>
    <row r="13" spans="1:6" x14ac:dyDescent="0.25">
      <c r="A13" s="19" t="s">
        <v>49</v>
      </c>
      <c r="B13" s="20">
        <f>B9+B10+B11+B12</f>
        <v>193479808.23337805</v>
      </c>
      <c r="C13" s="20">
        <f>C9+C10+C11+C12</f>
        <v>207080426.29480046</v>
      </c>
      <c r="D13" s="20">
        <f>D9+D10+D11+D12</f>
        <v>221637096.63548493</v>
      </c>
      <c r="E13" s="20">
        <f>E9+E10+E11+E12</f>
        <v>237217024.72775298</v>
      </c>
      <c r="F13" s="20">
        <f>F9+F10+F11+F12</f>
        <v>253892140.23695144</v>
      </c>
    </row>
    <row r="14" spans="1:6" x14ac:dyDescent="0.25">
      <c r="A14" t="s">
        <v>50</v>
      </c>
      <c r="B14" s="21">
        <f>1/(1+Assumptions!$B$26)^(1-0.5*Assumptions!$B$32)</f>
        <v>0.9616341533521849</v>
      </c>
      <c r="C14" s="21">
        <f>1/(1+Assumptions!$B$26)^(2-0.5*Assumptions!$B$32)</f>
        <v>0.8892618024687312</v>
      </c>
      <c r="D14" s="21">
        <f>1/(1+Assumptions!$B$26)^(3-0.5*Assumptions!$B$32)</f>
        <v>0.8223361769892572</v>
      </c>
      <c r="E14" s="21">
        <f>1/(1+Assumptions!$B$26)^(4-0.5*Assumptions!$B$32)</f>
        <v>0.7604473576937261</v>
      </c>
      <c r="F14" s="21">
        <f>1/(1+Assumptions!$B$26)^(5-0.5*Assumptions!$B$32)</f>
        <v>0.703216275782215</v>
      </c>
    </row>
    <row r="15" spans="1:6" x14ac:dyDescent="0.25">
      <c r="A15" s="19" t="s">
        <v>51</v>
      </c>
      <c r="B15" s="20">
        <f>B13*B14</f>
        <v>186056791.5812476</v>
      </c>
      <c r="C15" s="20">
        <f>C13*C14</f>
        <v>184148713.1429075</v>
      </c>
      <c r="D15" s="20">
        <f>D13*D14</f>
        <v>182260202.72622323</v>
      </c>
      <c r="E15" s="20">
        <f>E13*E14</f>
        <v>180391059.65418702</v>
      </c>
      <c r="F15" s="20">
        <f>F13*F14</f>
        <v>178541085.30780485</v>
      </c>
    </row>
    <row r="17" spans="1:2" x14ac:dyDescent="0.25">
      <c r="A17" s="22" t="s">
        <v>52</v>
      </c>
      <c r="B17" s="23">
        <f>SUM(B15:F15)</f>
        <v>911397852.4123702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253892140.23695144</v>
      </c>
    </row>
    <row r="5" spans="1:2" x14ac:dyDescent="0.25">
      <c r="A5" t="s">
        <v>56</v>
      </c>
      <c r="B5" s="18">
        <f>IF(Assumptions!$B$33=0,B4,B4-Forecast!F11-Forecast!F10-Forecast!F12)</f>
        <v>255668824.63447565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0.3071828507756967</v>
      </c>
    </row>
    <row r="7" spans="1:2" x14ac:dyDescent="0.25">
      <c r="A7" t="s">
        <v>58</v>
      </c>
      <c r="B7" s="18">
        <f>-MAX(Forecast!F9,0)*B6</f>
        <v>-78537078.4056899</v>
      </c>
    </row>
    <row r="8" spans="1:2" x14ac:dyDescent="0.25">
      <c r="A8" t="s">
        <v>59</v>
      </c>
      <c r="B8" s="18">
        <f>IF(OR(Assumptions!$B$33=0,Assumptions!B12&lt;=0),B5,MAX(B5+B7,0))</f>
        <v>177131746.22878575</v>
      </c>
    </row>
    <row r="9" spans="1:2" x14ac:dyDescent="0.25">
      <c r="A9" t="s">
        <v>60</v>
      </c>
      <c r="B9" s="18">
        <f>B8*(1+Assumptions!B12)/(Assumptions!B26-Assumptions!B12)</f>
        <v>3220020214.633286</v>
      </c>
    </row>
    <row r="10" spans="1:2" x14ac:dyDescent="0.25">
      <c r="A10" t="s">
        <v>61</v>
      </c>
      <c r="B10" s="18">
        <f>B9/(1+Assumptions!B26)^(5-0.5*Assumptions!B32)</f>
        <v>2264370623.2778683</v>
      </c>
    </row>
    <row r="11" spans="1:2" x14ac:dyDescent="0.25">
      <c r="A11" t="s">
        <v>62</v>
      </c>
      <c r="B11" s="18">
        <f>Forecast!B17+B10</f>
        <v>3175768475.6902385</v>
      </c>
    </row>
    <row r="12" spans="1:2" x14ac:dyDescent="0.25">
      <c r="A12" t="s">
        <v>63</v>
      </c>
      <c r="B12" s="18">
        <f>-Assumptions!B30</f>
        <v>-2218600000</v>
      </c>
    </row>
    <row r="13" spans="1:2" x14ac:dyDescent="0.25">
      <c r="A13" t="s">
        <v>64</v>
      </c>
      <c r="B13" s="18">
        <f>B11+B12</f>
        <v>957168475.6902385</v>
      </c>
    </row>
    <row r="14" spans="1:2" x14ac:dyDescent="0.25">
      <c r="A14" s="19" t="s">
        <v>65</v>
      </c>
      <c r="B14" s="24">
        <f>B13/Assumptions!B31</f>
        <v>0.42768086361858426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972104467.1871924</v>
      </c>
    </row>
    <row r="18" spans="1:2" x14ac:dyDescent="0.25">
      <c r="A18" t="s">
        <v>60</v>
      </c>
      <c r="B18" s="18">
        <f>B17*Assumptions!B13</f>
        <v>12012975065.834236</v>
      </c>
    </row>
    <row r="19" spans="1:2" x14ac:dyDescent="0.25">
      <c r="A19" t="s">
        <v>61</v>
      </c>
      <c r="B19" s="18">
        <f>B18/(1+Assumptions!B26)^(5-0.5*Assumptions!B32)</f>
        <v>8447719586.86056</v>
      </c>
    </row>
    <row r="20" spans="1:2" x14ac:dyDescent="0.25">
      <c r="A20" t="s">
        <v>62</v>
      </c>
      <c r="B20" s="18">
        <f>Forecast!B17+B19</f>
        <v>9359117439.27293</v>
      </c>
    </row>
    <row r="21" spans="1:2" x14ac:dyDescent="0.25">
      <c r="A21" t="s">
        <v>63</v>
      </c>
      <c r="B21" s="18">
        <f>-Assumptions!B30</f>
        <v>-2218600000</v>
      </c>
    </row>
    <row r="22" spans="1:2" x14ac:dyDescent="0.25">
      <c r="A22" t="s">
        <v>64</v>
      </c>
      <c r="B22" s="18">
        <f>B20+B21</f>
        <v>7140517439.27293</v>
      </c>
    </row>
    <row r="23" spans="1:2" x14ac:dyDescent="0.25">
      <c r="A23" s="19" t="s">
        <v>65</v>
      </c>
      <c r="B23" s="25">
        <f>B22/Assumptions!B31</f>
        <v>3.190517388184552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0.42768086361858426</v>
      </c>
    </row>
    <row r="29" spans="1:2" x14ac:dyDescent="0.25">
      <c r="A29" s="19" t="s">
        <v>73</v>
      </c>
      <c r="B29" s="12">
        <f>B28/B26-1</f>
        <v>-0.8392177204441412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0.061385</v>
      </c>
      <c r="B5" s="31">
        <v>0.8800810796932205</v>
      </c>
      <c r="C5" s="31">
        <v>0.8871979441593231</v>
      </c>
      <c r="D5" s="31">
        <v>0.8943148086254259</v>
      </c>
      <c r="E5" s="31">
        <v>0.9014316730915289</v>
      </c>
      <c r="F5" s="31">
        <v>0.9085485375576311</v>
      </c>
    </row>
    <row r="6" spans="1:6" x14ac:dyDescent="0.25">
      <c r="A6" s="30">
        <v>0.071385</v>
      </c>
      <c r="B6" s="31">
        <v>0.616446557405221</v>
      </c>
      <c r="C6" s="31">
        <v>0.6223135726863195</v>
      </c>
      <c r="D6" s="31">
        <v>0.6281805879674177</v>
      </c>
      <c r="E6" s="31">
        <v>0.6340476032485163</v>
      </c>
      <c r="F6" s="31">
        <v>0.6399146185296143</v>
      </c>
    </row>
    <row r="7" spans="1:6" x14ac:dyDescent="0.25">
      <c r="A7" s="30">
        <v>0.081385</v>
      </c>
      <c r="B7" s="31">
        <v>0.41780567582437966</v>
      </c>
      <c r="C7" s="31">
        <v>0.4227410866342375</v>
      </c>
      <c r="D7" s="32">
        <v>0.4276764974440948</v>
      </c>
      <c r="E7" s="31">
        <v>0.4326119082539528</v>
      </c>
      <c r="F7" s="31">
        <v>0.43754731906380995</v>
      </c>
    </row>
    <row r="8" spans="1:6" x14ac:dyDescent="0.25">
      <c r="A8" s="30">
        <v>0.091385</v>
      </c>
      <c r="B8" s="31">
        <v>0.26281283220495694</v>
      </c>
      <c r="C8" s="31">
        <v>0.26702983008125275</v>
      </c>
      <c r="D8" s="31">
        <v>0.2712468279575479</v>
      </c>
      <c r="E8" s="31">
        <v>0.27546382583384366</v>
      </c>
      <c r="F8" s="31">
        <v>0.279680823710139</v>
      </c>
    </row>
    <row r="9" spans="1:6" x14ac:dyDescent="0.25">
      <c r="A9" s="30">
        <v>0.101385</v>
      </c>
      <c r="B9" s="31">
        <v>0.13854452047893906</v>
      </c>
      <c r="C9" s="31">
        <v>0.14219272600593352</v>
      </c>
      <c r="D9" s="31">
        <v>0.14584093153292774</v>
      </c>
      <c r="E9" s="31">
        <v>0.14948913705992176</v>
      </c>
      <c r="F9" s="31">
        <v>0.153137342586916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4299900000</v>
      </c>
      <c r="C5" s="18">
        <v>3788900000</v>
      </c>
      <c r="D5" s="18">
        <v>3700400000</v>
      </c>
      <c r="E5" s="18">
        <v>3507100000</v>
      </c>
      <c r="F5" s="8" t="s">
        <v>84</v>
      </c>
    </row>
    <row r="6" spans="1:6" x14ac:dyDescent="0.25">
      <c r="A6" t="s">
        <v>44</v>
      </c>
      <c r="B6" s="18">
        <v>242400000</v>
      </c>
      <c r="C6" s="18">
        <v>305300000</v>
      </c>
      <c r="D6" s="18">
        <v>271400000</v>
      </c>
      <c r="E6" s="18">
        <v>110900000</v>
      </c>
      <c r="F6" s="8" t="s">
        <v>85</v>
      </c>
    </row>
    <row r="7" spans="1:6" x14ac:dyDescent="0.25">
      <c r="A7" t="s">
        <v>86</v>
      </c>
      <c r="B7" s="18">
        <v>419700000</v>
      </c>
      <c r="C7" s="18">
        <v>379500000</v>
      </c>
      <c r="D7" s="18">
        <v>369500000</v>
      </c>
      <c r="E7" s="18">
        <v>365900000</v>
      </c>
      <c r="F7" s="8" t="s">
        <v>87</v>
      </c>
    </row>
    <row r="8" spans="1:6" x14ac:dyDescent="0.25">
      <c r="A8" t="s">
        <v>88</v>
      </c>
      <c r="B8" s="18">
        <v>326800000</v>
      </c>
      <c r="C8" s="18">
        <v>335100000</v>
      </c>
      <c r="D8" s="18">
        <v>403200000</v>
      </c>
      <c r="E8" s="18">
        <v>385900000</v>
      </c>
      <c r="F8" s="8" t="s">
        <v>89</v>
      </c>
    </row>
    <row r="9" spans="1:6" x14ac:dyDescent="0.25">
      <c r="A9" t="s">
        <v>90</v>
      </c>
      <c r="B9" s="18">
        <v>38300000</v>
      </c>
      <c r="C9" s="18">
        <v>500000</v>
      </c>
      <c r="D9" s="18">
        <v>26400000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2334800000</v>
      </c>
      <c r="C10" s="18">
        <v>1805000000</v>
      </c>
      <c r="D10" s="18">
        <v>1731900000</v>
      </c>
      <c r="E10" s="18">
        <v>1589100000</v>
      </c>
      <c r="F10" s="8" t="s">
        <v>93</v>
      </c>
    </row>
    <row r="11" spans="1:6" x14ac:dyDescent="0.25">
      <c r="A11" t="s">
        <v>94</v>
      </c>
      <c r="B11" s="18">
        <v>116200000</v>
      </c>
      <c r="C11" s="18">
        <v>86500000</v>
      </c>
      <c r="D11" s="18">
        <v>120600000</v>
      </c>
      <c r="E11" s="18">
        <v>102100000</v>
      </c>
      <c r="F11" s="8" t="s">
        <v>95</v>
      </c>
    </row>
    <row r="12" spans="1:6" x14ac:dyDescent="0.25">
      <c r="A12" t="s">
        <v>32</v>
      </c>
      <c r="B12" s="34">
        <v>2238043731</v>
      </c>
      <c r="C12" s="34">
        <v>2230902274</v>
      </c>
      <c r="D12" s="34">
        <v>2228181888</v>
      </c>
      <c r="E12" s="34">
        <v>2212975561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