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<sst xmlns="http://schemas.openxmlformats.org/spreadsheetml/2006/main" count="114" uniqueCount="102">
  <si>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Catalyst Metals Limited (CYL.AX)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</si>
  <si>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</si>
  <si>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</si>
  <si>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</si>
  <si>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</si>
  <si>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</si>
  <si>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</si>
  <si>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</si>
  <si>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</si>
  <si>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</si>
  <si>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</si>
  <si>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</si>
  <si>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</si>
  <si>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</si>
  <si>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</si>
  <si>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</si>
  <si>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</si>
  <si>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</si>
  <si>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</si>
  <si>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</si>
  <si>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</si>
  <si>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</si>
  <si>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17.7%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</si>
  <si>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</si>
  <si>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</si>
  <si>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</si>
  <si>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</si>
  <si>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</si>
  <si>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</si>
  <si>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</si>
  <si>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</si>
  <si>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</si>
  <si>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</si>
  <si>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</si>
  <si>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</si>
  <si>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</si>
  <si>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</si>
  <si>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</si>
  <si>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</si>
  <si>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</si>
  <si>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</si>
  <si>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</si>
  <si>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</si>
  <si>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</si>
  <si>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</si>
  <si>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</si>
  <si>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</si>
  <si>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</si>
  <si>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</si>
  <si>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</si>
  <si>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</si>
  <si>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</si>
  <si>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</si>
  <si>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</si>
  <si>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</si>
  <si>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</si>
  <si>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</si>
  <si>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</si>
  <si>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</si>
  <si>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</si>
  <si>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</si>
  <si>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</si>
  <si>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</si>
  <si>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</si>
  <si>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</si>
  <si>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</si>
  <si>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</si>
  <si>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</si>
  <si>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</si>
  <si>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</si>
  <si>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</si>
  <si>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</si>
  <si>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</si>
  <si>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</si>
  <si>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</si>
  <si>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</si>
  <si>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</si>
  <si>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</si>
  <si>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</si>
  <si>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</si>
  <si>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</si>
  <si>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</si>
  <si>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</si>
  <si>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</si>
  <si>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</si>
  <si>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</si>
  <si>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</si>
  <si>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</si>
  <si>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</si>
  <si>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</si>
  <si>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</si>
  <si>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</si>
  <si>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</si>
  <si>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</si>
  <si>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</si>
  <si>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</si>
  <si>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</si>
  <si>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</si>
  <si>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</si>
  <si>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Capital expenditure runs at 24.8% of revenue against depreciation of 16.3%. A perpetuity has to be a steady state, so the terminal year uses maintenance capex at depreciation and then charges the reinvestment terminal growth requires (g/ROIC of NOPAT). The bridge is shown under Terminal Value.</t>
  </si>
  <si>
    <t>Current EV/EBITDA of 25.0x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</si>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</sst>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-0.022368277492047506</v>
      </c>
    </row>
    <row r="8" spans="1:2" x14ac:dyDescent="0.25">
      <c r="A8" t="s">
        <v>6</v>
      </c>
      <c r="B8" s="6">
        <v>0.035106760863559225</v>
      </c>
    </row>
    <row r="9" spans="1:2" x14ac:dyDescent="0.25">
      <c r="A9" t="s">
        <v>7</v>
      </c>
      <c r="B9" s="6">
        <v>0.16331124645482892</v>
      </c>
    </row>
    <row r="10" spans="1:2" x14ac:dyDescent="0.25">
      <c r="A10" t="s">
        <v>8</v>
      </c>
      <c r="B10" s="6">
        <v>0.2478943488609938</v>
      </c>
    </row>
    <row r="11" spans="1:2" x14ac:dyDescent="0.25">
      <c r="A11" t="s">
        <v>9</v>
      </c>
      <c r="B11" s="6">
        <v>-0.623866885534096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0.12316800755466961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1.17755</v>
      </c>
      <c r="C19" s="8" t="s">
        <v>19</v>
      </c>
    </row>
    <row r="20" spans="1:2" x14ac:dyDescent="0.25">
      <c r="A20" t="s">
        <v>20</v>
      </c>
      <c r="B20" s="10">
        <f>B17+B19*B18</f>
        <v>0.12413300000000001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1787676032</v>
      </c>
    </row>
    <row r="23" spans="1:2" x14ac:dyDescent="0.25">
      <c r="A23" t="s">
        <v>24</v>
      </c>
      <c r="B23" s="11">
        <v>33005000</v>
      </c>
    </row>
    <row r="24" spans="1:2" x14ac:dyDescent="0.25">
      <c r="A24" t="s">
        <v>25</v>
      </c>
      <c r="B24" s="10">
        <f>B22/(B22+B23)</f>
        <v>0.9818721679306208</v>
      </c>
    </row>
    <row r="25" spans="1:2" x14ac:dyDescent="0.25">
      <c r="A25" t="s">
        <v>26</v>
      </c>
      <c r="B25" s="10">
        <f>1-B24</f>
        <v>0.01812783206937918</v>
      </c>
    </row>
    <row r="26" spans="1:2" x14ac:dyDescent="0.25">
      <c r="A26" t="s">
        <v>27</v>
      </c>
      <c r="B26" s="12">
        <f>B24*B20+B25*B21*(1-B8)</f>
        <v>0.12316800755466961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317014000</v>
      </c>
      <c r="C29" s="8" t="s">
        <v>30</v>
      </c>
    </row>
    <row r="30" spans="1:2" x14ac:dyDescent="0.25">
      <c r="A30" t="s">
        <v>31</v>
      </c>
      <c r="B30" s="11">
        <v>-6031000</v>
      </c>
    </row>
    <row r="31" spans="1:2" x14ac:dyDescent="0.25">
      <c r="A31" t="s">
        <v>32</v>
      </c>
      <c r="B31" s="13">
        <v>220379085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475521000</v>
      </c>
      <c r="C6" s="18">
        <f>B6*(1+C5)</f>
        <v>713281500</v>
      </c>
      <c r="D6" s="18">
        <f>C6*(1+D5)</f>
        <v>1069922250</v>
      </c>
      <c r="E6" s="18">
        <f>D6*(1+E5)</f>
        <v>1604883375</v>
      </c>
      <c r="F6" s="18">
        <f>E6*(1+F5)</f>
        <v>2407325062.5</v>
      </c>
    </row>
    <row r="7" spans="1:6" x14ac:dyDescent="0.25">
      <c r="A7" t="s">
        <v>5</v>
      </c>
      <c r="B7" s="10">
        <f>Assumptions!B7</f>
        <v>-0.022368277492047506</v>
      </c>
      <c r="C7" s="10">
        <f>Assumptions!B7</f>
        <v>-0.022368277492047506</v>
      </c>
      <c r="D7" s="10">
        <f>Assumptions!B7</f>
        <v>-0.022368277492047506</v>
      </c>
      <c r="E7" s="10">
        <f>Assumptions!B7</f>
        <v>-0.022368277492047506</v>
      </c>
      <c r="F7" s="10">
        <f>Assumptions!B7</f>
        <v>-0.022368277492047506</v>
      </c>
    </row>
    <row r="8" spans="1:6" x14ac:dyDescent="0.25">
      <c r="A8" t="s">
        <v>44</v>
      </c>
      <c r="B8" s="18">
        <f>B6*B7</f>
        <v>-10636585.681295922</v>
      </c>
      <c r="C8" s="18">
        <f>C6*C7</f>
        <v>-15954878.521943882</v>
      </c>
      <c r="D8" s="18">
        <f>D6*D7</f>
        <v>-23932317.782915823</v>
      </c>
      <c r="E8" s="18">
        <f>E6*E7</f>
        <v>-35898476.67437374</v>
      </c>
      <c r="F8" s="18">
        <f>F6*F7</f>
        <v>-53847715.011560604</v>
      </c>
    </row>
    <row r="9" spans="1:6" x14ac:dyDescent="0.25">
      <c r="A9" t="s">
        <v>45</v>
      </c>
      <c r="B9" s="18">
        <f>B8*(1-Assumptions!B8)</f>
        <v>-10263169.611377908</v>
      </c>
      <c r="C9" s="18">
        <f>C8*(1-Assumptions!B8)</f>
        <v>-15394754.417066861</v>
      </c>
      <c r="D9" s="18">
        <f>D8*(1-Assumptions!B8)</f>
        <v>-23092131.62560029</v>
      </c>
      <c r="E9" s="18">
        <f>E8*(1-Assumptions!B8)</f>
        <v>-34638197.43840044</v>
      </c>
      <c r="F9" s="18">
        <f>F8*(1-Assumptions!B8)</f>
        <v>-51957296.157600656</v>
      </c>
    </row>
    <row r="10" spans="1:6" x14ac:dyDescent="0.25">
      <c r="A10" t="s">
        <v>46</v>
      </c>
      <c r="B10" s="18">
        <f>B6*Assumptions!B9</f>
        <v>77657927.2254467</v>
      </c>
      <c r="C10" s="18">
        <f>C6*Assumptions!B9</f>
        <v>116486890.83817005</v>
      </c>
      <c r="D10" s="18">
        <f>D6*Assumptions!B9</f>
        <v>174730336.25725508</v>
      </c>
      <c r="E10" s="18">
        <f>E6*Assumptions!B9</f>
        <v>262095504.38588262</v>
      </c>
      <c r="F10" s="18">
        <f>F6*Assumptions!B9</f>
        <v>393143256.5788239</v>
      </c>
    </row>
    <row r="11" spans="1:6" x14ac:dyDescent="0.25">
      <c r="A11" t="s">
        <v>47</v>
      </c>
      <c r="B11" s="18">
        <f>-B6*Assumptions!B10</f>
        <v>-117878968.66472863</v>
      </c>
      <c r="C11" s="18">
        <f>-C6*Assumptions!B10</f>
        <v>-176818452.99709293</v>
      </c>
      <c r="D11" s="18">
        <f>-D6*Assumptions!B10</f>
        <v>-265227679.4956394</v>
      </c>
      <c r="E11" s="18">
        <f>-E6*Assumptions!B10</f>
        <v>-397841519.2434591</v>
      </c>
      <c r="F11" s="18">
        <f>-F6*Assumptions!B10</f>
        <v>-596762278.8651887</v>
      </c>
    </row>
    <row r="12" spans="1:6" x14ac:dyDescent="0.25">
      <c r="A12" t="s">
        <v>48</v>
      </c>
      <c r="B12" s="18">
        <f>-(B6-Assumptions!B29)*Assumptions!B11</f>
        <v>98887268.42535295</v>
      </c>
      <c r="C12" s="18">
        <f>-(C6-B6)*Assumptions!B11</f>
        <v>148330902.63802943</v>
      </c>
      <c r="D12" s="18">
        <f>-(D6-C6)*Assumptions!B11</f>
        <v>222496353.95704412</v>
      </c>
      <c r="E12" s="18">
        <f>-(E6-D6)*Assumptions!B11</f>
        <v>333744530.9355662</v>
      </c>
      <c r="F12" s="18">
        <f>-(F6-E6)*Assumptions!B11</f>
        <v>500616796.40334934</v>
      </c>
    </row>
    <row r="13" spans="1:6" x14ac:dyDescent="0.25">
      <c r="A13" s="19" t="s">
        <v>49</v>
      </c>
      <c r="B13" s="20">
        <f>B9+B10+B11+B12</f>
        <v>48403057.37469311</v>
      </c>
      <c r="C13" s="20">
        <f>C9+C10+C11+C12</f>
        <v>72604586.06203969</v>
      </c>
      <c r="D13" s="20">
        <f>D9+D10+D11+D12</f>
        <v>108906879.09305951</v>
      </c>
      <c r="E13" s="20">
        <f>E9+E10+E11+E12</f>
        <v>163360318.63958925</v>
      </c>
      <c r="F13" s="20">
        <f>F9+F10+F11+F12</f>
        <v>245040477.9593839</v>
      </c>
    </row>
    <row r="14" spans="1:6" x14ac:dyDescent="0.25">
      <c r="A14" t="s">
        <v>50</v>
      </c>
      <c r="B14" s="21">
        <f>1/(1+Assumptions!$B$26)^(1-0.5*Assumptions!$B$32)</f>
        <v>0.9435776333197535</v>
      </c>
      <c r="C14" s="21">
        <f>1/(1+Assumptions!$B$26)^(2-0.5*Assumptions!$B$32)</f>
        <v>0.8401037306734588</v>
      </c>
      <c r="D14" s="21">
        <f>1/(1+Assumptions!$B$26)^(3-0.5*Assumptions!$B$32)</f>
        <v>0.7479769055232526</v>
      </c>
      <c r="E14" s="21">
        <f>1/(1+Assumptions!$B$26)^(4-0.5*Assumptions!$B$32)</f>
        <v>0.6659528231682162</v>
      </c>
      <c r="F14" s="21">
        <f>1/(1+Assumptions!$B$26)^(5-0.5*Assumptions!$B$32)</f>
        <v>0.5929236042060265</v>
      </c>
    </row>
    <row r="15" spans="1:6" x14ac:dyDescent="0.25">
      <c r="A15" s="19" t="s">
        <v>51</v>
      </c>
      <c r="B15" s="20">
        <f>B13*B14</f>
        <v>45672042.323053166</v>
      </c>
      <c r="C15" s="20">
        <f>C13*C14</f>
        <v>60995383.61472175</v>
      </c>
      <c r="D15" s="20">
        <f>D13*D14</f>
        <v>81459830.41422166</v>
      </c>
      <c r="E15" s="20">
        <f>E13*E14</f>
        <v>108790265.39169385</v>
      </c>
      <c r="F15" s="20">
        <f>F13*F14</f>
        <v>145290283.3680453</v>
      </c>
    </row>
    <row r="17" spans="1:2" x14ac:dyDescent="0.25">
      <c r="A17" s="22" t="s">
        <v>52</v>
      </c>
      <c r="B17" s="23">
        <f>SUM(B15:F15)</f>
        <v>442207805.1117357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245040477.9593839</v>
      </c>
    </row>
    <row r="5" spans="1:2" x14ac:dyDescent="0.25">
      <c r="A5" t="s">
        <v>56</v>
      </c>
      <c r="B5" s="18">
        <f>IF(Assumptions!$B$33=0,B4,B4-Forecast!F11-Forecast!F10-Forecast!F12)</f>
        <v>-51957296.157600656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0.20297478619927703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442207805.1117357</v>
      </c>
    </row>
    <row r="12" spans="1:2" x14ac:dyDescent="0.25">
      <c r="A12" t="s">
        <v>63</v>
      </c>
      <c r="B12" s="18">
        <f>-Assumptions!B30</f>
        <v>6031000</v>
      </c>
    </row>
    <row r="13" spans="1:2" x14ac:dyDescent="0.25">
      <c r="A13" t="s">
        <v>64</v>
      </c>
      <c r="B13" s="18">
        <f>B11+B12</f>
        <v>448238805.1117357</v>
      </c>
    </row>
    <row r="14" spans="1:2" x14ac:dyDescent="0.25">
      <c r="A14" s="19" t="s">
        <v>65</v>
      </c>
      <c r="B14" s="24">
        <f>B13/Assumptions!B31</f>
        <v>2.03394439681849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339295541.5672633</v>
      </c>
    </row>
    <row r="18" spans="1:2" x14ac:dyDescent="0.25">
      <c r="A18" t="s">
        <v>60</v>
      </c>
      <c r="B18" s="18">
        <f>B17*Assumptions!B13</f>
        <v>6785910831.345266</v>
      </c>
    </row>
    <row r="19" spans="1:2" x14ac:dyDescent="0.25">
      <c r="A19" t="s">
        <v>61</v>
      </c>
      <c r="B19" s="18">
        <f>B18/(1+Assumptions!B26)^(5-0.5*Assumptions!B32)</f>
        <v>4023526707.941949</v>
      </c>
    </row>
    <row r="20" spans="1:2" x14ac:dyDescent="0.25">
      <c r="A20" t="s">
        <v>62</v>
      </c>
      <c r="B20" s="18">
        <f>Forecast!B17+B19</f>
        <v>4465734513.053684</v>
      </c>
    </row>
    <row r="21" spans="1:2" x14ac:dyDescent="0.25">
      <c r="A21" t="s">
        <v>63</v>
      </c>
      <c r="B21" s="18">
        <f>-Assumptions!B30</f>
        <v>6031000</v>
      </c>
    </row>
    <row r="22" spans="1:2" x14ac:dyDescent="0.25">
      <c r="A22" t="s">
        <v>64</v>
      </c>
      <c r="B22" s="18">
        <f>B20+B21</f>
        <v>4471765513.053684</v>
      </c>
    </row>
    <row r="23" spans="1:2" x14ac:dyDescent="0.25">
      <c r="A23" s="19" t="s">
        <v>65</v>
      </c>
      <c r="B23" s="25">
        <f>B22/Assumptions!B31</f>
        <v>20.291242760417507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2.03394439681849</v>
      </c>
    </row>
    <row r="29" spans="1:2" x14ac:dyDescent="0.25">
      <c r="A29" s="19" t="s">
        <v>73</v>
      </c>
      <c r="B29" s="12">
        <f>B28/B26-1</f>
        <v>-0.7000082010592198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0.103168</v>
      </c>
      <c r="B5" s="31">
        <v>2.1479155491708717</v>
      </c>
      <c r="C5" s="31">
        <v>2.1479155491708717</v>
      </c>
      <c r="D5" s="31">
        <v>2.1479155491708717</v>
      </c>
      <c r="E5" s="31">
        <v>2.1479155491708717</v>
      </c>
      <c r="F5" s="31">
        <v>2.1479155491708717</v>
      </c>
    </row>
    <row r="6" spans="1:6" x14ac:dyDescent="0.25">
      <c r="A6" s="30">
        <v>0.113168</v>
      </c>
      <c r="B6" s="31">
        <v>2.0897383241137173</v>
      </c>
      <c r="C6" s="31">
        <v>2.0897383241137173</v>
      </c>
      <c r="D6" s="31">
        <v>2.0897383241137173</v>
      </c>
      <c r="E6" s="31">
        <v>2.0897383241137173</v>
      </c>
      <c r="F6" s="31">
        <v>2.0897383241137173</v>
      </c>
    </row>
    <row r="7" spans="1:6" x14ac:dyDescent="0.25">
      <c r="A7" s="30">
        <v>0.123168</v>
      </c>
      <c r="B7" s="31">
        <v>2.0339444380998493</v>
      </c>
      <c r="C7" s="31">
        <v>2.0339444380998493</v>
      </c>
      <c r="D7" s="32">
        <v>2.0339444380998493</v>
      </c>
      <c r="E7" s="31">
        <v>2.0339444380998493</v>
      </c>
      <c r="F7" s="31">
        <v>2.0339444380998493</v>
      </c>
    </row>
    <row r="8" spans="1:6" x14ac:dyDescent="0.25">
      <c r="A8" s="30">
        <v>0.133168</v>
      </c>
      <c r="B8" s="31">
        <v>1.980411929582001</v>
      </c>
      <c r="C8" s="31">
        <v>1.980411929582001</v>
      </c>
      <c r="D8" s="31">
        <v>1.980411929582001</v>
      </c>
      <c r="E8" s="31">
        <v>1.980411929582001</v>
      </c>
      <c r="F8" s="31">
        <v>1.980411929582001</v>
      </c>
    </row>
    <row r="9" spans="1:6" x14ac:dyDescent="0.25">
      <c r="A9" s="30">
        <v>0.143168</v>
      </c>
      <c r="B9" s="31">
        <v>1.9290262035614532</v>
      </c>
      <c r="C9" s="31">
        <v>1.9290262035614532</v>
      </c>
      <c r="D9" s="31">
        <v>1.9290262035614532</v>
      </c>
      <c r="E9" s="31">
        <v>1.9290262035614532</v>
      </c>
      <c r="F9" s="31">
        <v>1.9290262035614532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317014000</v>
      </c>
      <c r="C5" s="18">
        <v>63944000</v>
      </c>
      <c r="D5" s="18">
        <v>63330429</v>
      </c>
      <c r="E5" s="8" t="s">
        <v>83</v>
      </c>
    </row>
    <row r="6" spans="1:5" x14ac:dyDescent="0.25">
      <c r="A6" t="s">
        <v>44</v>
      </c>
      <c r="B6" s="18">
        <v>39294000</v>
      </c>
      <c r="C6" s="18">
        <v>-12380000</v>
      </c>
      <c r="D6" s="18">
        <v>161601</v>
      </c>
      <c r="E6" s="8" t="s">
        <v>84</v>
      </c>
    </row>
    <row r="7" spans="1:5" x14ac:dyDescent="0.25">
      <c r="A7" t="s">
        <v>85</v>
      </c>
      <c r="B7" s="18">
        <v>32041000</v>
      </c>
      <c r="C7" s="18">
        <v>14422000</v>
      </c>
      <c r="D7" s="18">
        <v>10343214</v>
      </c>
      <c r="E7" s="8" t="s">
        <v>86</v>
      </c>
    </row>
    <row r="8" spans="1:5" x14ac:dyDescent="0.25">
      <c r="A8" t="s">
        <v>87</v>
      </c>
      <c r="B8" s="18">
        <v>32743000</v>
      </c>
      <c r="C8" s="18">
        <v>25206000</v>
      </c>
      <c r="D8" s="18">
        <v>15592504</v>
      </c>
      <c r="E8" s="8" t="s">
        <v>88</v>
      </c>
    </row>
    <row r="9" spans="1:5" x14ac:dyDescent="0.25">
      <c r="A9" t="s">
        <v>89</v>
      </c>
      <c r="B9" s="18">
        <v>-3103000</v>
      </c>
      <c r="C9" s="18">
        <v>-758050</v>
      </c>
      <c r="D9" s="18">
        <v>0</v>
      </c>
      <c r="E9" s="8" t="s">
        <v>90</v>
      </c>
    </row>
    <row r="10" spans="1:5" x14ac:dyDescent="0.25">
      <c r="A10" t="s">
        <v>91</v>
      </c>
      <c r="B10" s="18">
        <v>33005000</v>
      </c>
      <c r="C10" s="18">
        <v>33817000</v>
      </c>
      <c r="D10" s="18">
        <v>3788019</v>
      </c>
      <c r="E10" s="8" t="s">
        <v>92</v>
      </c>
    </row>
    <row r="11" spans="1:5" x14ac:dyDescent="0.25">
      <c r="A11" t="s">
        <v>93</v>
      </c>
      <c r="B11" s="18">
        <v>39036000</v>
      </c>
      <c r="C11" s="18">
        <v>31981000</v>
      </c>
      <c r="D11" s="18">
        <v>21242571</v>
      </c>
      <c r="E11" s="8" t="s">
        <v>94</v>
      </c>
    </row>
    <row r="12" spans="1:5" x14ac:dyDescent="0.25">
      <c r="A12" t="s">
        <v>32</v>
      </c>
      <c r="B12" s="34">
        <v>220379085</v>
      </c>
      <c r="C12" s="34">
        <v>123411952</v>
      </c>
      <c r="D12" s="34">
        <v>98641985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54" customHeight="1" spans="1:5" x14ac:dyDescent="0.25">
      <c r="A18" s="35" t="s">
        <v>99</v>
      </c>
      <c r="B18" s="35"/>
      <c r="C18" s="35"/>
      <c r="D18" s="35"/>
      <c r="E18" s="35"/>
    </row>
    <row r="19" ht="38" customHeight="1" spans="1:5" x14ac:dyDescent="0.25">
      <c r="A19" s="35" t="s">
        <v>100</v>
      </c>
      <c r="B19" s="35"/>
      <c r="C19" s="35"/>
      <c r="D19" s="35"/>
      <c r="E19" s="35"/>
    </row>
    <row r="21" spans="1:1" x14ac:dyDescent="0.25">
      <c r="A21" s="36" t="s">
        <v>101</v>
      </c>
    </row>
  </sheetData>
  <mergeCells count="4">
    <mergeCell ref="A16:E16"/>
    <mergeCell ref="A17:E17"/>
    <mergeCell ref="A18:E18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