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<sst xmlns="http://schemas.openxmlformats.org/spreadsheetml/2006/main" count="113" uniqueCount="101">
  <si>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Dominion Energy, Inc. (D)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</si>
  <si>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</si>
  <si>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</si>
  <si>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</si>
  <si>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</si>
  <si>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</si>
  <si>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</si>
  <si>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</si>
  <si>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</si>
  <si>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</si>
  <si>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</si>
  <si>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</si>
  <si>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</si>
  <si>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</si>
  <si>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</si>
  <si>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</si>
  <si>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</si>
  <si>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</si>
  <si>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</si>
  <si>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</si>
  <si>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</si>
  <si>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</si>
  <si>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</si>
  <si>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</si>
  <si>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</si>
  <si>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</si>
  <si>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</si>
  <si>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</si>
  <si>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</si>
  <si>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</si>
  <si>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</si>
  <si>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</si>
  <si>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</si>
  <si>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</si>
  <si>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</si>
  <si>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</si>
  <si>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</si>
  <si>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</si>
  <si>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</si>
  <si>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</si>
  <si>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</si>
  <si>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</si>
  <si>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</si>
  <si>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</si>
  <si>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</si>
  <si>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</si>
  <si>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</si>
  <si>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</si>
  <si>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</si>
  <si>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</si>
  <si>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</si>
  <si>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</si>
  <si>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</si>
  <si>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</si>
  <si>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</si>
  <si>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</si>
  <si>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</si>
  <si>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</si>
  <si>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</si>
  <si>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</si>
  <si>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</si>
  <si>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</si>
  <si>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</si>
  <si>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</si>
  <si>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</si>
  <si>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</si>
  <si>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</si>
  <si>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</si>
  <si>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</si>
  <si>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</si>
  <si>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</si>
  <si>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</si>
  <si>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</si>
  <si>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</si>
  <si>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</si>
  <si>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</si>
  <si>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</si>
  <si>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</si>
  <si>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</si>
  <si>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</si>
  <si>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</si>
  <si>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</si>
  <si>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</si>
  <si>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</si>
  <si>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</si>
  <si>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</si>
  <si>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</si>
  <si>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</si>
  <si>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</si>
  <si>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</si>
  <si>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</si>
  <si>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</si>
  <si>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</si>
  <si>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</si>
  <si>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</si>
  <si>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</si>
  <si>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</si>
  <si>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</si>
  <si>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</si>
  <si>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71.6% of revenue against depreciation of 19.6%.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</si>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</sst>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0.05798731389635825</v>
      </c>
    </row>
    <row r="7" spans="1:2" x14ac:dyDescent="0.25">
      <c r="A7" t="s">
        <v>5</v>
      </c>
      <c r="B7" s="6">
        <v>0.2643059794883264</v>
      </c>
    </row>
    <row r="8" spans="1:2" x14ac:dyDescent="0.25">
      <c r="A8" t="s">
        <v>6</v>
      </c>
      <c r="B8" s="6">
        <v>0.18356089227179287</v>
      </c>
    </row>
    <row r="9" spans="1:2" x14ac:dyDescent="0.25">
      <c r="A9" t="s">
        <v>7</v>
      </c>
      <c r="B9" s="6">
        <v>0.19644943299631476</v>
      </c>
    </row>
    <row r="10" spans="1:2" x14ac:dyDescent="0.25">
      <c r="A10" t="s">
        <v>8</v>
      </c>
      <c r="B10" s="6">
        <v>0.7158844555866326</v>
      </c>
    </row>
    <row r="11" spans="1:2" x14ac:dyDescent="0.25">
      <c r="A11" t="s">
        <v>9</v>
      </c>
      <c r="B11" s="6">
        <v>-0.10989010989010989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13.737526351674328</v>
      </c>
    </row>
    <row r="14" spans="1:3" x14ac:dyDescent="0.25">
      <c r="A14" t="s">
        <v>12</v>
      </c>
      <c r="B14" s="6">
        <v>0.06760024687012074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0.74674</v>
      </c>
      <c r="C19" s="8" t="s">
        <v>19</v>
      </c>
    </row>
    <row r="20" spans="1:2" x14ac:dyDescent="0.25">
      <c r="A20" t="s">
        <v>20</v>
      </c>
      <c r="B20" s="10">
        <f>B17+B19*B18</f>
        <v>0.0910507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55920263168</v>
      </c>
    </row>
    <row r="23" spans="1:2" x14ac:dyDescent="0.25">
      <c r="A23" t="s">
        <v>24</v>
      </c>
      <c r="B23" s="11">
        <v>48941000000</v>
      </c>
    </row>
    <row r="24" spans="1:2" x14ac:dyDescent="0.25">
      <c r="A24" t="s">
        <v>25</v>
      </c>
      <c r="B24" s="10">
        <f>B22/(B22+B23)</f>
        <v>0.5332785575776366</v>
      </c>
    </row>
    <row r="25" spans="1:2" x14ac:dyDescent="0.25">
      <c r="A25" t="s">
        <v>26</v>
      </c>
      <c r="B25" s="10">
        <f>1-B24</f>
        <v>0.46672144242236335</v>
      </c>
    </row>
    <row r="26" spans="1:2" x14ac:dyDescent="0.25">
      <c r="A26" t="s">
        <v>27</v>
      </c>
      <c r="B26" s="12">
        <f>B24*B20+B25*B21*(1-B8)</f>
        <v>0.06760024687012074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16506000000</v>
      </c>
      <c r="C29" s="8" t="s">
        <v>30</v>
      </c>
    </row>
    <row r="30" spans="1:2" x14ac:dyDescent="0.25">
      <c r="A30" t="s">
        <v>31</v>
      </c>
      <c r="B30" s="11">
        <v>48691000000</v>
      </c>
    </row>
    <row r="31" spans="1:2" x14ac:dyDescent="0.25">
      <c r="A31" t="s">
        <v>32</v>
      </c>
      <c r="B31" s="13">
        <v>879000000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0.05798731389635825</v>
      </c>
      <c r="C5" s="10">
        <f>Assumptions!B6</f>
        <v>0.05798731389635825</v>
      </c>
      <c r="D5" s="10">
        <f>Assumptions!B6</f>
        <v>0.05798731389635825</v>
      </c>
      <c r="E5" s="10">
        <f>Assumptions!B6</f>
        <v>0.05798731389635825</v>
      </c>
      <c r="F5" s="10">
        <f>Assumptions!B6</f>
        <v>0.05798731389635825</v>
      </c>
    </row>
    <row r="6" spans="1:6" x14ac:dyDescent="0.25">
      <c r="A6" t="s">
        <v>43</v>
      </c>
      <c r="B6" s="18">
        <f>Assumptions!B29*(1+B5)</f>
        <v>17463138603.17329</v>
      </c>
      <c r="C6" s="18">
        <f>B6*(1+C5)</f>
        <v>18475779102.97111</v>
      </c>
      <c r="D6" s="18">
        <f>C6*(1+D5)</f>
        <v>19547139905.294872</v>
      </c>
      <c r="E6" s="18">
        <f>D6*(1+E5)</f>
        <v>20680626042.759235</v>
      </c>
      <c r="F6" s="18">
        <f>E6*(1+F5)</f>
        <v>21879839996.673916</v>
      </c>
    </row>
    <row r="7" spans="1:6" x14ac:dyDescent="0.25">
      <c r="A7" t="s">
        <v>5</v>
      </c>
      <c r="B7" s="10">
        <f>Assumptions!B7</f>
        <v>0.2643059794883264</v>
      </c>
      <c r="C7" s="10">
        <f>Assumptions!B7</f>
        <v>0.2643059794883264</v>
      </c>
      <c r="D7" s="10">
        <f>Assumptions!B7</f>
        <v>0.2643059794883264</v>
      </c>
      <c r="E7" s="10">
        <f>Assumptions!B7</f>
        <v>0.2643059794883264</v>
      </c>
      <c r="F7" s="10">
        <f>Assumptions!B7</f>
        <v>0.2643059794883264</v>
      </c>
    </row>
    <row r="8" spans="1:6" x14ac:dyDescent="0.25">
      <c r="A8" t="s">
        <v>44</v>
      </c>
      <c r="B8" s="18">
        <f>B6*B7</f>
        <v>4615611953.452121</v>
      </c>
      <c r="C8" s="18">
        <f>C6*C7</f>
        <v>4883258892.620732</v>
      </c>
      <c r="D8" s="18">
        <f>D6*D7</f>
        <v>5166425958.864313</v>
      </c>
      <c r="E8" s="18">
        <f>E6*E7</f>
        <v>5466013122.663271</v>
      </c>
      <c r="F8" s="18">
        <f>F6*F7</f>
        <v>5782972541.36876</v>
      </c>
    </row>
    <row r="9" spans="1:6" x14ac:dyDescent="0.25">
      <c r="A9" t="s">
        <v>45</v>
      </c>
      <c r="B9" s="18">
        <f>B8*(1-Assumptions!B8)</f>
        <v>3768366104.8960967</v>
      </c>
      <c r="C9" s="18">
        <f>C8*(1-Assumptions!B8)</f>
        <v>3986883533.0971036</v>
      </c>
      <c r="D9" s="18">
        <f>D8*(1-Assumptions!B8)</f>
        <v>4218072199.999027</v>
      </c>
      <c r="E9" s="18">
        <f>E8*(1-Assumptions!B8)</f>
        <v>4462666876.697872</v>
      </c>
      <c r="F9" s="18">
        <f>F8*(1-Assumptions!B8)</f>
        <v>4721444941.6918335</v>
      </c>
    </row>
    <row r="10" spans="1:6" x14ac:dyDescent="0.25">
      <c r="A10" t="s">
        <v>46</v>
      </c>
      <c r="B10" s="18">
        <f>B6*Assumptions!B9</f>
        <v>3430623676.929449</v>
      </c>
      <c r="C10" s="18">
        <f>C6*Assumptions!B9</f>
        <v>3629556328.9438357</v>
      </c>
      <c r="D10" s="18">
        <f>D6*Assumptions!B9</f>
        <v>3840024551.0948153</v>
      </c>
      <c r="E10" s="18">
        <f>E6*Assumptions!B9</f>
        <v>4062697260.1088724</v>
      </c>
      <c r="F10" s="18">
        <f>F6*Assumptions!B9</f>
        <v>4298282161.39668</v>
      </c>
    </row>
    <row r="11" spans="1:6" x14ac:dyDescent="0.25">
      <c r="A11" t="s">
        <v>47</v>
      </c>
      <c r="B11" s="18">
        <f>-B6*Assumptions!B10</f>
        <v>-12501589471.766619</v>
      </c>
      <c r="C11" s="18">
        <f>-C6*Assumptions!B10</f>
        <v>-13226523064.669357</v>
      </c>
      <c r="D11" s="18">
        <f>-D6*Assumptions!B10</f>
        <v>-13993493609.377762</v>
      </c>
      <c r="E11" s="18">
        <f>-E6*Assumptions!B10</f>
        <v>-14804938715.811432</v>
      </c>
      <c r="F11" s="18">
        <f>-F6*Assumptions!B10</f>
        <v>-15663437344.341536</v>
      </c>
    </row>
    <row r="12" spans="1:6" x14ac:dyDescent="0.25">
      <c r="A12" t="s">
        <v>48</v>
      </c>
      <c r="B12" s="18">
        <f>-(B6-Assumptions!B29)*Assumptions!B11</f>
        <v>105180066.28277914</v>
      </c>
      <c r="C12" s="18">
        <f>-(C6-B6)*Assumptions!B11</f>
        <v>111279175.80195835</v>
      </c>
      <c r="D12" s="18">
        <f>-(D6-C6)*Assumptions!B11</f>
        <v>117731956.2993144</v>
      </c>
      <c r="E12" s="18">
        <f>-(E6-D6)*Assumptions!B11</f>
        <v>124558916.20487507</v>
      </c>
      <c r="F12" s="18">
        <f>-(F6-E6)*Assumptions!B11</f>
        <v>131781753.17743741</v>
      </c>
    </row>
    <row r="13" spans="1:6" x14ac:dyDescent="0.25">
      <c r="A13" s="19" t="s">
        <v>49</v>
      </c>
      <c r="B13" s="20">
        <f>B9+B10+B11+B12</f>
        <v>-5197419623.658294</v>
      </c>
      <c r="C13" s="20">
        <f>C9+C10+C11+C12</f>
        <v>-5498804026.82646</v>
      </c>
      <c r="D13" s="20">
        <f>D9+D10+D11+D12</f>
        <v>-5817664901.984606</v>
      </c>
      <c r="E13" s="20">
        <f>E9+E10+E11+E12</f>
        <v>-6155015662.799812</v>
      </c>
      <c r="F13" s="20">
        <f>F9+F10+F11+F12</f>
        <v>-6511928488.075585</v>
      </c>
    </row>
    <row r="14" spans="1:6" x14ac:dyDescent="0.25">
      <c r="A14" t="s">
        <v>50</v>
      </c>
      <c r="B14" s="21">
        <f>1/(1+Assumptions!$B$26)^(1-0.5*Assumptions!$B$32)</f>
        <v>0.9678223948894252</v>
      </c>
      <c r="C14" s="21">
        <f>1/(1+Assumptions!$B$26)^(2-0.5*Assumptions!$B$32)</f>
        <v>0.9065400628435468</v>
      </c>
      <c r="D14" s="21">
        <f>1/(1+Assumptions!$B$26)^(3-0.5*Assumptions!$B$32)</f>
        <v>0.8491381165387012</v>
      </c>
      <c r="E14" s="21">
        <f>1/(1+Assumptions!$B$26)^(4-0.5*Assumptions!$B$32)</f>
        <v>0.7953708506794712</v>
      </c>
      <c r="F14" s="21">
        <f>1/(1+Assumptions!$B$26)^(5-0.5*Assumptions!$B$32)</f>
        <v>0.7450081179835398</v>
      </c>
    </row>
    <row r="15" spans="1:6" x14ac:dyDescent="0.25">
      <c r="A15" s="19" t="s">
        <v>51</v>
      </c>
      <c r="B15" s="20">
        <f>B13*B14</f>
        <v>-5030179107.414265</v>
      </c>
      <c r="C15" s="20">
        <f>C13*C14</f>
        <v>-4984886148.043608</v>
      </c>
      <c r="D15" s="20">
        <f>D13*D14</f>
        <v>-4940001017.524516</v>
      </c>
      <c r="E15" s="20">
        <f>E13*E14</f>
        <v>-4895520043.666556</v>
      </c>
      <c r="F15" s="20">
        <f>F13*F14</f>
        <v>-4851439587.34459</v>
      </c>
    </row>
    <row r="17" spans="1:2" x14ac:dyDescent="0.25">
      <c r="A17" s="22" t="s">
        <v>52</v>
      </c>
      <c r="B17" s="23">
        <f>SUM(B15:F15)</f>
        <v>-24702025903.993534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-6511928488.075585</v>
      </c>
    </row>
    <row r="5" spans="1:2" x14ac:dyDescent="0.25">
      <c r="A5" t="s">
        <v>56</v>
      </c>
      <c r="B5" s="18">
        <f>IF(Assumptions!$B$33=0,B4,B4-Forecast!F11-Forecast!F10-Forecast!F12)</f>
        <v>4721444941.6918335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0.3698211346481041</v>
      </c>
    </row>
    <row r="7" spans="1:2" x14ac:dyDescent="0.25">
      <c r="A7" t="s">
        <v>58</v>
      </c>
      <c r="B7" s="18">
        <f>-MAX(Forecast!F9,0)*B6</f>
        <v>-1746090125.5150256</v>
      </c>
    </row>
    <row r="8" spans="1:2" x14ac:dyDescent="0.25">
      <c r="A8" t="s">
        <v>59</v>
      </c>
      <c r="B8" s="18">
        <f>IF(OR(Assumptions!$B$33=0,Assumptions!B12&lt;=0),B5,MAX(B5+B7,0))</f>
        <v>2975354816.176808</v>
      </c>
    </row>
    <row r="9" spans="1:2" x14ac:dyDescent="0.25">
      <c r="A9" t="s">
        <v>60</v>
      </c>
      <c r="B9" s="18">
        <f>B8*(1+Assumptions!B12)/(Assumptions!B26-Assumptions!B12)</f>
        <v>71589695146.11604</v>
      </c>
    </row>
    <row r="10" spans="1:2" x14ac:dyDescent="0.25">
      <c r="A10" t="s">
        <v>61</v>
      </c>
      <c r="B10" s="18">
        <f>B9/(1+Assumptions!B26)^(5-0.5*Assumptions!B32)</f>
        <v>53334904047.82327</v>
      </c>
    </row>
    <row r="11" spans="1:2" x14ac:dyDescent="0.25">
      <c r="A11" t="s">
        <v>62</v>
      </c>
      <c r="B11" s="18">
        <f>Forecast!B17+B10</f>
        <v>28632878143.82974</v>
      </c>
    </row>
    <row r="12" spans="1:2" x14ac:dyDescent="0.25">
      <c r="A12" t="s">
        <v>63</v>
      </c>
      <c r="B12" s="18">
        <f>-Assumptions!B30</f>
        <v>-48691000000</v>
      </c>
    </row>
    <row r="13" spans="1:2" x14ac:dyDescent="0.25">
      <c r="A13" t="s">
        <v>64</v>
      </c>
      <c r="B13" s="18">
        <f>B11+B12</f>
        <v>-20058121856.17026</v>
      </c>
    </row>
    <row r="14" spans="1:2" x14ac:dyDescent="0.25">
      <c r="A14" s="19" t="s">
        <v>65</v>
      </c>
      <c r="B14" s="24">
        <f>B13/Assumptions!B31</f>
        <v>-22.819251258441707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10081254702.76544</v>
      </c>
    </row>
    <row r="18" spans="1:2" x14ac:dyDescent="0.25">
      <c r="A18" t="s">
        <v>60</v>
      </c>
      <c r="B18" s="18">
        <f>B17*Assumptions!B13</f>
        <v>138491502137.18097</v>
      </c>
    </row>
    <row r="19" spans="1:2" x14ac:dyDescent="0.25">
      <c r="A19" t="s">
        <v>61</v>
      </c>
      <c r="B19" s="18">
        <f>B18/(1+Assumptions!B26)^(5-0.5*Assumptions!B32)</f>
        <v>103177293363.93459</v>
      </c>
    </row>
    <row r="20" spans="1:2" x14ac:dyDescent="0.25">
      <c r="A20" t="s">
        <v>62</v>
      </c>
      <c r="B20" s="18">
        <f>Forecast!B17+B19</f>
        <v>78475267459.94106</v>
      </c>
    </row>
    <row r="21" spans="1:2" x14ac:dyDescent="0.25">
      <c r="A21" t="s">
        <v>63</v>
      </c>
      <c r="B21" s="18">
        <f>-Assumptions!B30</f>
        <v>-48691000000</v>
      </c>
    </row>
    <row r="22" spans="1:2" x14ac:dyDescent="0.25">
      <c r="A22" t="s">
        <v>64</v>
      </c>
      <c r="B22" s="18">
        <f>B20+B21</f>
        <v>29784267459.941055</v>
      </c>
    </row>
    <row r="23" spans="1:2" x14ac:dyDescent="0.25">
      <c r="A23" s="19" t="s">
        <v>65</v>
      </c>
      <c r="B23" s="25">
        <f>B22/Assumptions!B31</f>
        <v>33.88426332188971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-22.819251258441707</v>
      </c>
    </row>
    <row r="29" spans="1:2" x14ac:dyDescent="0.25">
      <c r="A29" s="19" t="s">
        <v>73</v>
      </c>
      <c r="B29" s="12">
        <f>B28/B26-1</f>
        <v>-1.3589061223410146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0.0476</v>
      </c>
      <c r="B5" s="31">
        <v>8.053573000873214</v>
      </c>
      <c r="C5" s="31">
        <v>8.511260870541248</v>
      </c>
      <c r="D5" s="31">
        <v>8.968948740209266</v>
      </c>
      <c r="E5" s="31">
        <v>9.426636609877317</v>
      </c>
      <c r="F5" s="31">
        <v>9.884324479545368</v>
      </c>
    </row>
    <row r="6" spans="1:6" x14ac:dyDescent="0.25">
      <c r="A6" s="30">
        <v>0.0576</v>
      </c>
      <c r="B6" s="31">
        <v>-10.59571656589377</v>
      </c>
      <c r="C6" s="31">
        <v>-10.233317486465845</v>
      </c>
      <c r="D6" s="31">
        <v>-9.87091840703792</v>
      </c>
      <c r="E6" s="31">
        <v>-9.50851932761002</v>
      </c>
      <c r="F6" s="31">
        <v>-9.146120248182095</v>
      </c>
    </row>
    <row r="7" spans="1:6" x14ac:dyDescent="0.25">
      <c r="A7" s="30">
        <v>0.0676</v>
      </c>
      <c r="B7" s="31">
        <v>-23.41095418412382</v>
      </c>
      <c r="C7" s="31">
        <v>-23.114968422465818</v>
      </c>
      <c r="D7" s="32">
        <v>-22.818982660807826</v>
      </c>
      <c r="E7" s="31">
        <v>-22.52299689914984</v>
      </c>
      <c r="F7" s="31">
        <v>-22.22701113749185</v>
      </c>
    </row>
    <row r="8" spans="1:6" x14ac:dyDescent="0.25">
      <c r="A8" s="30">
        <v>0.0776</v>
      </c>
      <c r="B8" s="31">
        <v>-32.66401873176863</v>
      </c>
      <c r="C8" s="31">
        <v>-32.41676934940546</v>
      </c>
      <c r="D8" s="31">
        <v>-32.16951996704232</v>
      </c>
      <c r="E8" s="31">
        <v>-31.92227058467916</v>
      </c>
      <c r="F8" s="31">
        <v>-31.675021202316007</v>
      </c>
    </row>
    <row r="9" spans="1:6" x14ac:dyDescent="0.25">
      <c r="A9" s="30">
        <v>0.0876</v>
      </c>
      <c r="B9" s="31">
        <v>-39.588408030842906</v>
      </c>
      <c r="C9" s="31">
        <v>-39.378301013513834</v>
      </c>
      <c r="D9" s="31">
        <v>-39.16819399618478</v>
      </c>
      <c r="E9" s="31">
        <v>-38.95808697885572</v>
      </c>
      <c r="F9" s="31">
        <v>-38.74797996152667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16506000000</v>
      </c>
      <c r="C5" s="18">
        <v>14459000000</v>
      </c>
      <c r="D5" s="18">
        <v>14393000000</v>
      </c>
      <c r="E5" s="18">
        <v>13938000000</v>
      </c>
      <c r="F5" s="8" t="s">
        <v>84</v>
      </c>
    </row>
    <row r="6" spans="1:6" x14ac:dyDescent="0.25">
      <c r="A6" t="s">
        <v>44</v>
      </c>
      <c r="B6" s="18">
        <v>4931000000</v>
      </c>
      <c r="C6" s="18">
        <v>3847000000</v>
      </c>
      <c r="D6" s="18">
        <v>3721000000</v>
      </c>
      <c r="E6" s="18">
        <v>3260000000</v>
      </c>
      <c r="F6" s="8" t="s">
        <v>85</v>
      </c>
    </row>
    <row r="7" spans="1:6" x14ac:dyDescent="0.25">
      <c r="A7" t="s">
        <v>86</v>
      </c>
      <c r="B7" s="18">
        <v>2684000000</v>
      </c>
      <c r="C7" s="18">
        <v>2639000000</v>
      </c>
      <c r="D7" s="18">
        <v>3128000000</v>
      </c>
      <c r="E7" s="18">
        <v>3113000000</v>
      </c>
      <c r="F7" s="8" t="s">
        <v>87</v>
      </c>
    </row>
    <row r="8" spans="1:6" x14ac:dyDescent="0.25">
      <c r="A8" t="s">
        <v>88</v>
      </c>
      <c r="B8" s="18">
        <v>12641000000</v>
      </c>
      <c r="C8" s="18">
        <v>12198000000</v>
      </c>
      <c r="D8" s="18">
        <v>10211000000</v>
      </c>
      <c r="E8" s="18">
        <v>7591000000</v>
      </c>
      <c r="F8" s="8" t="s">
        <v>89</v>
      </c>
    </row>
    <row r="9" spans="1:6" x14ac:dyDescent="0.25">
      <c r="A9" t="s">
        <v>90</v>
      </c>
      <c r="B9" s="18">
        <v>1371000000</v>
      </c>
      <c r="C9" s="18">
        <v>-547000000</v>
      </c>
      <c r="D9" s="18">
        <v>-50000000</v>
      </c>
      <c r="E9" s="18">
        <v>3148000000</v>
      </c>
      <c r="F9" s="8" t="s">
        <v>91</v>
      </c>
    </row>
    <row r="10" spans="1:6" x14ac:dyDescent="0.25">
      <c r="A10" t="s">
        <v>92</v>
      </c>
      <c r="B10" s="18">
        <v>48941000000</v>
      </c>
      <c r="C10" s="18">
        <v>41750000000</v>
      </c>
      <c r="D10" s="18">
        <v>44243000000</v>
      </c>
      <c r="E10" s="18">
        <v>41203000000</v>
      </c>
      <c r="F10" s="8" t="s">
        <v>93</v>
      </c>
    </row>
    <row r="11" spans="1:6" x14ac:dyDescent="0.25">
      <c r="A11" t="s">
        <v>94</v>
      </c>
      <c r="B11" s="18">
        <v>250000000</v>
      </c>
      <c r="C11" s="18">
        <v>310000000</v>
      </c>
      <c r="D11" s="18">
        <v>184000000</v>
      </c>
      <c r="E11" s="18">
        <v>119000000</v>
      </c>
      <c r="F11" s="8" t="s">
        <v>95</v>
      </c>
    </row>
    <row r="12" spans="1:6" x14ac:dyDescent="0.25">
      <c r="A12" t="s">
        <v>32</v>
      </c>
      <c r="B12" s="34">
        <v>879000000</v>
      </c>
      <c r="C12" s="34">
        <v>852000000</v>
      </c>
      <c r="D12" s="34">
        <v>838000000</v>
      </c>
      <c r="E12" s="34">
        <v>835000000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