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<sst xmlns="http://schemas.openxmlformats.org/spreadsheetml/2006/main" count="121" uniqueCount="108">
  <si>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Dominion Energy, Inc. (D)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</si>
  <si>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</si>
  <si>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</si>
  <si>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</si>
  <si>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</si>
  <si>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</si>
  <si>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</si>
  <si>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</si>
  <si>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</si>
  <si>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</si>
  <si>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</si>
  <si>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</si>
  <si>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</si>
  <si>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</si>
  <si>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</si>
  <si>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</si>
  <si>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</si>
  <si>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</si>
  <si>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</si>
  <si>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</si>
  <si>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</si>
  <si>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</si>
  <si>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</si>
  <si>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</si>
  <si>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</si>
  <si>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</si>
  <si>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</si>
  <si>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</si>
  <si>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</si>
  <si>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</si>
  <si>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</si>
  <si>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</si>
  <si>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</si>
  <si>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</si>
  <si>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</si>
  <si>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</si>
  <si>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</si>
  <si>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</si>
  <si>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</si>
  <si>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</si>
  <si>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</si>
  <si>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</si>
  <si>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</si>
  <si>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</si>
  <si>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</si>
  <si>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</si>
  <si>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</si>
  <si>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</si>
  <si>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</si>
  <si>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</si>
  <si>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</si>
  <si>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</si>
  <si>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</si>
  <si>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</si>
  <si>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</si>
  <si>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</si>
  <si>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</si>
  <si>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</si>
  <si>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</si>
  <si>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</si>
  <si>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</si>
  <si>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</si>
  <si>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</si>
  <si>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</si>
  <si>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</si>
  <si>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</si>
  <si>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</si>
  <si>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</si>
  <si>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</si>
  <si>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</si>
  <si>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</si>
  <si>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</si>
  <si>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</si>
  <si>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</si>
  <si>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</si>
  <si>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</si>
  <si>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</si>
  <si>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</si>
  <si>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</si>
  <si>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</si>
  <si>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</si>
  <si>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</si>
  <si>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</si>
  <si>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</si>
  <si>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</si>
  <si>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</si>
  <si>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</si>
  <si>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</si>
  <si>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</si>
  <si>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</si>
  <si>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</si>
  <si>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</si>
  <si>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</si>
  <si>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</si>
  <si>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</si>
  <si>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</si>
  <si>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</si>
  <si>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</si>
  <si>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</si>
  <si>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</si>
  <si>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</si>
  <si>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</si>
  <si>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</si>
  <si>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</si>
  <si>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</si>
  <si>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</si>
  <si>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71.6% of revenue against depreciation of 19.6%.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</si>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</sst>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0.10657065491336493</v>
      </c>
    </row>
    <row r="7" spans="1:2" x14ac:dyDescent="0.25">
      <c r="A7" t="s">
        <v>4</v>
      </c>
      <c r="B7" s="5">
        <v>0.2643059794883264</v>
      </c>
    </row>
    <row r="8" spans="1:2" x14ac:dyDescent="0.25">
      <c r="A8" t="s">
        <v>5</v>
      </c>
      <c r="B8" s="5">
        <v>0.18356089227179287</v>
      </c>
    </row>
    <row r="9" spans="1:2" x14ac:dyDescent="0.25">
      <c r="A9" t="s">
        <v>6</v>
      </c>
      <c r="B9" s="5">
        <v>0.19644943299631476</v>
      </c>
    </row>
    <row r="10" spans="1:3" x14ac:dyDescent="0.25">
      <c r="A10" t="s">
        <v>7</v>
      </c>
      <c r="B10" s="5">
        <v>0.7158844555866326</v>
      </c>
      <c r="C10" s="6" t="s">
        <v>8</v>
      </c>
    </row>
    <row r="11" spans="1:2" x14ac:dyDescent="0.25">
      <c r="A11" t="s">
        <v>9</v>
      </c>
      <c r="B11" s="5">
        <v>0.1916920653239563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14.088643647537754</v>
      </c>
    </row>
    <row r="14" spans="1:3" x14ac:dyDescent="0.25">
      <c r="A14" t="s">
        <v>12</v>
      </c>
      <c r="B14" s="5">
        <v>0.06714416118026034</v>
      </c>
      <c r="C14" s="6" t="s">
        <v>13</v>
      </c>
    </row>
    <row r="15" spans="1:3" x14ac:dyDescent="0.25">
      <c r="A15" t="s">
        <v>14</v>
      </c>
      <c r="B15" s="5">
        <v>0.19644943299631476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0.74473</v>
      </c>
      <c r="C19" s="6" t="s">
        <v>21</v>
      </c>
    </row>
    <row r="20" spans="1:2" x14ac:dyDescent="0.25">
      <c r="A20" t="s">
        <v>22</v>
      </c>
      <c r="B20" s="9">
        <f>B17+B19*B18</f>
        <v>0.080442079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58594021376</v>
      </c>
    </row>
    <row r="23" spans="1:2" x14ac:dyDescent="0.25">
      <c r="A23" t="s">
        <v>26</v>
      </c>
      <c r="B23" s="10">
        <v>48941000000</v>
      </c>
    </row>
    <row r="24" spans="1:2" x14ac:dyDescent="0.25">
      <c r="A24" t="s">
        <v>27</v>
      </c>
      <c r="B24" s="9">
        <f>B22/(B22+B23)</f>
        <v>0.5448831517978123</v>
      </c>
    </row>
    <row r="25" spans="1:2" x14ac:dyDescent="0.25">
      <c r="A25" t="s">
        <v>28</v>
      </c>
      <c r="B25" s="9">
        <f>1-B24</f>
        <v>0.4551168482021877</v>
      </c>
    </row>
    <row r="26" spans="1:2" x14ac:dyDescent="0.25">
      <c r="A26" t="s">
        <v>29</v>
      </c>
      <c r="B26" s="11">
        <f>B24*B20+B25*B21*(1-B8)</f>
        <v>0.06714416118026034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16506000000</v>
      </c>
      <c r="C29" s="6" t="s">
        <v>32</v>
      </c>
    </row>
    <row r="30" spans="1:2" x14ac:dyDescent="0.25">
      <c r="A30" t="s">
        <v>33</v>
      </c>
      <c r="B30" s="10">
        <v>48691000000</v>
      </c>
    </row>
    <row r="31" spans="1:2" x14ac:dyDescent="0.25">
      <c r="A31" t="s">
        <v>34</v>
      </c>
      <c r="B31" s="12">
        <v>879000000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0.10657065491336493</v>
      </c>
      <c r="C5" s="5">
        <v>0.06759914462081817</v>
      </c>
      <c r="D5" s="5">
        <v>0.062274251543215906</v>
      </c>
      <c r="E5" s="5">
        <v>0.05694935846561363</v>
      </c>
      <c r="F5" s="5">
        <v>0.05162446538801136</v>
      </c>
      <c r="G5" s="5">
        <v>0.046299572310409084</v>
      </c>
      <c r="H5" s="5">
        <v>0.040974679232806815</v>
      </c>
      <c r="I5" s="5">
        <v>0.035649786155204546</v>
      </c>
      <c r="J5" s="5">
        <v>0.03032489307760227</v>
      </c>
      <c r="K5" s="5">
        <v>0.025</v>
      </c>
    </row>
    <row r="6" spans="1:11" x14ac:dyDescent="0.25">
      <c r="A6" t="s">
        <v>50</v>
      </c>
      <c r="B6" s="18">
        <f>Assumptions!B29*(1+B5)</f>
        <v>18265055230</v>
      </c>
      <c r="C6" s="18">
        <f>B6*(1+C5)</f>
        <v>19499757340</v>
      </c>
      <c r="D6" s="18">
        <f>C6*(1+D5)</f>
        <v>20714090133.622833</v>
      </c>
      <c r="E6" s="18">
        <f>D6*(1+E5)</f>
        <v>21893744277.93155</v>
      </c>
      <c r="F6" s="18">
        <f>E6*(1+F5)</f>
        <v>23023997121.621597</v>
      </c>
      <c r="G6" s="18">
        <f>F6*(1+G5)</f>
        <v>24089998341.228767</v>
      </c>
      <c r="H6" s="18">
        <f>G6*(1+H5)</f>
        <v>25077078295.97946</v>
      </c>
      <c r="I6" s="18">
        <f>H6*(1+I5)</f>
        <v>25971070774.62845</v>
      </c>
      <c r="J6" s="18">
        <f>I6*(1+J5)</f>
        <v>26758640718.9799</v>
      </c>
      <c r="K6" s="18">
        <f>J6*(1+K5)</f>
        <v>27427606736.954395</v>
      </c>
    </row>
    <row r="7" spans="1:11" x14ac:dyDescent="0.25">
      <c r="A7" t="s">
        <v>4</v>
      </c>
      <c r="B7" s="9">
        <f>Assumptions!B7</f>
        <v>0.2643059794883264</v>
      </c>
      <c r="C7" s="9">
        <f>Assumptions!B7</f>
        <v>0.2643059794883264</v>
      </c>
      <c r="D7" s="9">
        <f>Assumptions!B7</f>
        <v>0.2643059794883264</v>
      </c>
      <c r="E7" s="9">
        <f>Assumptions!B7</f>
        <v>0.2643059794883264</v>
      </c>
      <c r="F7" s="9">
        <f>Assumptions!B7</f>
        <v>0.2643059794883264</v>
      </c>
      <c r="G7" s="9">
        <f>Assumptions!B7</f>
        <v>0.2643059794883264</v>
      </c>
      <c r="H7" s="9">
        <f>Assumptions!B7</f>
        <v>0.2643059794883264</v>
      </c>
      <c r="I7" s="9">
        <f>Assumptions!B7</f>
        <v>0.2643059794883264</v>
      </c>
      <c r="J7" s="9">
        <f>Assumptions!B7</f>
        <v>0.2643059794883264</v>
      </c>
      <c r="K7" s="9">
        <f>Assumptions!B7</f>
        <v>0.2643059794883264</v>
      </c>
    </row>
    <row r="8" spans="1:11" x14ac:dyDescent="0.25">
      <c r="A8" t="s">
        <v>51</v>
      </c>
      <c r="B8" s="18">
        <f>B6*B7</f>
        <v>4827563312.973529</v>
      </c>
      <c r="C8" s="18">
        <f>C6*C7</f>
        <v>5153902463.533382</v>
      </c>
      <c r="D8" s="18">
        <f>D6*D7</f>
        <v>5474857881.976661</v>
      </c>
      <c r="E8" s="18">
        <f>E6*E7</f>
        <v>5786647526.04564</v>
      </c>
      <c r="F8" s="18">
        <f>F6*F7</f>
        <v>6085380110.966604</v>
      </c>
      <c r="G8" s="18">
        <f>G6*G7</f>
        <v>6367130607.450627</v>
      </c>
      <c r="H8" s="18">
        <f>H6*H7</f>
        <v>6628021741.724303</v>
      </c>
      <c r="I8" s="18">
        <f>I6*I7</f>
        <v>6864309299.44882</v>
      </c>
      <c r="J8" s="18">
        <f>J6*J7</f>
        <v>7072468745.006197</v>
      </c>
      <c r="K8" s="18">
        <f>K6*K7</f>
        <v>7249280463.631351</v>
      </c>
    </row>
    <row r="9" spans="1:11" x14ac:dyDescent="0.25">
      <c r="A9" t="s">
        <v>52</v>
      </c>
      <c r="B9" s="18">
        <f>B8*(1-Assumptions!B8)</f>
        <v>3941411483.7455354</v>
      </c>
      <c r="C9" s="18">
        <f>C8*(1-Assumptions!B8)</f>
        <v>4207847528.6454034</v>
      </c>
      <c r="D9" s="18">
        <f>D8*(1-Assumptions!B8)</f>
        <v>4469888084.099767</v>
      </c>
      <c r="E9" s="18">
        <f>E8*(1-Assumptions!B8)</f>
        <v>4724445342.90234</v>
      </c>
      <c r="F9" s="18">
        <f>F8*(1-Assumptions!B8)</f>
        <v>4968342307.984552</v>
      </c>
      <c r="G9" s="18">
        <f>G8*(1-Assumptions!B8)</f>
        <v>5198374431.935947</v>
      </c>
      <c r="H9" s="18">
        <f>H8*(1-Assumptions!B8)</f>
        <v>5411376156.816547</v>
      </c>
      <c r="I9" s="18">
        <f>I8*(1-Assumptions!B8)</f>
        <v>5604290559.61243</v>
      </c>
      <c r="J9" s="18">
        <f>J8*(1-Assumptions!B8)</f>
        <v>5774240071.608493</v>
      </c>
      <c r="K9" s="18">
        <f>K8*(1-Assumptions!B8)</f>
        <v>5918596073.398705</v>
      </c>
    </row>
    <row r="10" spans="1:11" x14ac:dyDescent="0.25">
      <c r="A10" t="s">
        <v>53</v>
      </c>
      <c r="B10" s="18">
        <f>B6*Assumptions!B9</f>
        <v>3588159743.5798736</v>
      </c>
      <c r="C10" s="18">
        <f>C6*Assumptions!B9</f>
        <v>3830716273.008727</v>
      </c>
      <c r="D10" s="18">
        <f>D6*Assumptions!B9</f>
        <v>4069271261.7847633</v>
      </c>
      <c r="E10" s="18">
        <f>E6*Assumptions!B9</f>
        <v>4301013649.565964</v>
      </c>
      <c r="F10" s="18">
        <f>F6*Assumptions!B9</f>
        <v>4523051179.851346</v>
      </c>
      <c r="G10" s="18">
        <f>G6*Assumptions!B9</f>
        <v>4732466515.016555</v>
      </c>
      <c r="H10" s="18">
        <f>H6*Assumptions!B9</f>
        <v>4926377812.449356</v>
      </c>
      <c r="I10" s="18">
        <f>I6*Assumptions!B9</f>
        <v>5102002127.98292</v>
      </c>
      <c r="J10" s="18">
        <f>J6*Assumptions!B9</f>
        <v>5256719796.995702</v>
      </c>
      <c r="K10" s="18">
        <f>K6*Assumptions!B9</f>
        <v>5388137791.920594</v>
      </c>
    </row>
    <row r="11" spans="1:11" x14ac:dyDescent="0.25">
      <c r="A11" t="s">
        <v>54</v>
      </c>
      <c r="B11" s="18">
        <f>-B6*B19</f>
        <v>-13075669119.588327</v>
      </c>
      <c r="C11" s="18">
        <f>-C6*C19</f>
        <v>-13008224769.237337</v>
      </c>
      <c r="D11" s="18">
        <f>-D6*D19</f>
        <v>-12807709323.01401</v>
      </c>
      <c r="E11" s="18">
        <f>-E6*E19</f>
        <v>-12468954626.980583</v>
      </c>
      <c r="F11" s="18">
        <f>-F6*F19</f>
        <v>-11989369776.447678</v>
      </c>
      <c r="G11" s="18">
        <f>-G6*G19</f>
        <v>-11369176749.812326</v>
      </c>
      <c r="H11" s="18">
        <f>-H6*H19</f>
        <v>-10611572035.608244</v>
      </c>
      <c r="I11" s="18">
        <f>-I6*I19</f>
        <v>-9722803383.940128</v>
      </c>
      <c r="J11" s="18">
        <f>-J6*J19</f>
        <v>-8712153701.776585</v>
      </c>
      <c r="K11" s="18">
        <f>-K6*K19</f>
        <v>-7591827572.745016</v>
      </c>
    </row>
    <row r="12" spans="1:11" x14ac:dyDescent="0.25">
      <c r="A12" t="s">
        <v>55</v>
      </c>
      <c r="B12" s="18">
        <f>-(B6-Assumptions!B29)*Assumptions!B11</f>
        <v>-337196930.057607</v>
      </c>
      <c r="C12" s="18">
        <f>-(C6-B6)*Assumptions!B11</f>
        <v>-236682597.52574667</v>
      </c>
      <c r="D12" s="18">
        <f>-(D6-C6)*Assumptions!B11</f>
        <v>-232777961.2001705</v>
      </c>
      <c r="E12" s="18">
        <f>-(E6-D6)*Assumptions!B11</f>
        <v>-226130339.29050213</v>
      </c>
      <c r="F12" s="18">
        <f>-(F6-E6)*Assumptions!B11</f>
        <v>-216660501.94522008</v>
      </c>
      <c r="G12" s="18">
        <f>-(G6-F6)*Assumptions!B11</f>
        <v>-204343975.42435473</v>
      </c>
      <c r="H12" s="18">
        <f>-(H6-G6)*Assumptions!B11</f>
        <v>-189215395.16603792</v>
      </c>
      <c r="I12" s="18">
        <f>-(I6-H6)*Assumptions!B11</f>
        <v>-171371264.6163072</v>
      </c>
      <c r="J12" s="18">
        <f>-(J6-I6)*Assumptions!B11</f>
        <v>-150970909.21980315</v>
      </c>
      <c r="K12" s="18">
        <f>-(K6-J6)*Assumptions!B11</f>
        <v>-128235477.6170738</v>
      </c>
    </row>
    <row r="13" spans="1:11" x14ac:dyDescent="0.25">
      <c r="A13" s="19" t="s">
        <v>56</v>
      </c>
      <c r="B13" s="20">
        <f>B9+B10+B11+B12</f>
        <v>-5883294822.320525</v>
      </c>
      <c r="C13" s="20">
        <f>C9+C10+C11+C12</f>
        <v>-5206343565.1089525</v>
      </c>
      <c r="D13" s="20">
        <f>D9+D10+D11+D12</f>
        <v>-4501327938.32965</v>
      </c>
      <c r="E13" s="20">
        <f>E9+E10+E11+E12</f>
        <v>-3669625973.8027816</v>
      </c>
      <c r="F13" s="20">
        <f>F9+F10+F11+F12</f>
        <v>-2714636790.5569983</v>
      </c>
      <c r="G13" s="20">
        <f>G9+G10+G11+G12</f>
        <v>-1642679778.284178</v>
      </c>
      <c r="H13" s="20">
        <f>H9+H10+H11+H12</f>
        <v>-463033461.5083784</v>
      </c>
      <c r="I13" s="20">
        <f>I9+I10+I11+I12</f>
        <v>812118039.0389128</v>
      </c>
      <c r="J13" s="20">
        <f>J9+J10+J11+J12</f>
        <v>2167835257.6078067</v>
      </c>
      <c r="K13" s="20">
        <f>K9+K10+K11+K12</f>
        <v>3586670814.9572077</v>
      </c>
    </row>
    <row r="14" spans="1:11" x14ac:dyDescent="0.25">
      <c r="A14" t="s">
        <v>57</v>
      </c>
      <c r="B14" s="21">
        <f>1/(1+Assumptions!$B$26)^(1-0.5*Assumptions!$B$32)</f>
        <v>0.9680291911252699</v>
      </c>
      <c r="C14" s="21">
        <f>1/(1+Assumptions!$B$26)^(2-0.5*Assumptions!$B$32)</f>
        <v>0.907121292829481</v>
      </c>
      <c r="D14" s="21">
        <f>1/(1+Assumptions!$B$26)^(3-0.5*Assumptions!$B$32)</f>
        <v>0.8500456881347744</v>
      </c>
      <c r="E14" s="21">
        <f>1/(1+Assumptions!$B$26)^(4-0.5*Assumptions!$B$32)</f>
        <v>0.7965612511009053</v>
      </c>
      <c r="F14" s="21">
        <f>1/(1+Assumptions!$B$26)^(5-0.5*Assumptions!$B$32)</f>
        <v>0.7464420273076409</v>
      </c>
      <c r="G14" s="21">
        <f>1/(1+Assumptions!$B$26)^(6-0.5*Assumptions!$B$32)</f>
        <v>0.6994762792705315</v>
      </c>
      <c r="H14" s="21">
        <f>1/(1+Assumptions!$B$26)^(7-0.5*Assumptions!$B$32)</f>
        <v>0.6554655919186321</v>
      </c>
      <c r="I14" s="21">
        <f>1/(1+Assumptions!$B$26)^(8-0.5*Assumptions!$B$32)</f>
        <v>0.6142240343551033</v>
      </c>
      <c r="J14" s="21">
        <f>1/(1+Assumptions!$B$26)^(9-0.5*Assumptions!$B$32)</f>
        <v>0.5755773743594044</v>
      </c>
      <c r="K14" s="21">
        <f>1/(1+Assumptions!$B$26)^(10-0.5*Assumptions!$B$32)</f>
        <v>0.5393623423126042</v>
      </c>
    </row>
    <row r="15" spans="1:11" x14ac:dyDescent="0.25">
      <c r="A15" s="19" t="s">
        <v>58</v>
      </c>
      <c r="B15" s="20">
        <f>B13*B14</f>
        <v>-5695201128.002426</v>
      </c>
      <c r="C15" s="20">
        <f>C13*C14</f>
        <v>-4722785105.696082</v>
      </c>
      <c r="D15" s="20">
        <f>D13*D14</f>
        <v>-3826334404.8577127</v>
      </c>
      <c r="E15" s="20">
        <f>E13*E14</f>
        <v>-2923081856.7647214</v>
      </c>
      <c r="F15" s="20">
        <f>F13*F14</f>
        <v>-2026318989.3472733</v>
      </c>
      <c r="G15" s="20">
        <f>G13*G14</f>
        <v>-1149015539.3471584</v>
      </c>
      <c r="H15" s="20">
        <f>H13*H14</f>
        <v>-303502501.92572236</v>
      </c>
      <c r="I15" s="20">
        <f>I13*I14</f>
        <v>498822418.3110363</v>
      </c>
      <c r="J15" s="20">
        <f>J13*J14</f>
        <v>1247756925.6176443</v>
      </c>
      <c r="K15" s="20">
        <f>K13*K14</f>
        <v>1934515171.8595765</v>
      </c>
    </row>
    <row r="17" spans="1:2" x14ac:dyDescent="0.25">
      <c r="A17" s="22" t="s">
        <v>59</v>
      </c>
      <c r="B17" s="23">
        <f>SUM(B15:K15)</f>
        <v>-16965145010.15284</v>
      </c>
    </row>
    <row r="19" spans="1:11" x14ac:dyDescent="0.25">
      <c r="A19" t="s">
        <v>7</v>
      </c>
      <c r="B19" s="9">
        <f>Assumptions!$B$10+($B$20-Assumptions!$B$10)*0/9</f>
        <v>0.7158844555866326</v>
      </c>
      <c r="C19" s="9">
        <f>Assumptions!$B$10+($B$20-Assumptions!$B$10)*1/9</f>
        <v>0.66709675112487</v>
      </c>
      <c r="D19" s="9">
        <f>Assumptions!$B$10+($B$20-Assumptions!$B$10)*2/9</f>
        <v>0.6183090466631073</v>
      </c>
      <c r="E19" s="9">
        <f>Assumptions!$B$10+($B$20-Assumptions!$B$10)*3/9</f>
        <v>0.5695213422013445</v>
      </c>
      <c r="F19" s="9">
        <f>Assumptions!$B$10+($B$20-Assumptions!$B$10)*4/9</f>
        <v>0.5207336377395819</v>
      </c>
      <c r="G19" s="9">
        <f>Assumptions!$B$10+($B$20-Assumptions!$B$10)*5/9</f>
        <v>0.4719459332778192</v>
      </c>
      <c r="H19" s="9">
        <f>Assumptions!$B$10+($B$20-Assumptions!$B$10)*6/9</f>
        <v>0.4231582288160566</v>
      </c>
      <c r="I19" s="9">
        <f>Assumptions!$B$10+($B$20-Assumptions!$B$10)*7/9</f>
        <v>0.37437052435429385</v>
      </c>
      <c r="J19" s="9">
        <f>Assumptions!$B$10+($B$20-Assumptions!$B$10)*8/9</f>
        <v>0.32558281989253124</v>
      </c>
      <c r="K19" s="9">
        <f>Assumptions!$B$10+($B$20-Assumptions!$B$10)*9/9</f>
        <v>0.2767951154307685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0.2767951154307685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3586670814.9572077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5918596073.398705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0.37233319413855054</v>
      </c>
    </row>
    <row r="7" spans="1:2" x14ac:dyDescent="0.25">
      <c r="A7" t="s">
        <v>66</v>
      </c>
      <c r="B7" s="18">
        <f>-MAX(B5,0)*B6</f>
        <v>-2203689780.824423</v>
      </c>
    </row>
    <row r="8" spans="1:2" x14ac:dyDescent="0.25">
      <c r="A8" t="s">
        <v>67</v>
      </c>
      <c r="B8" s="18">
        <f>IF(OR(Assumptions!$B$33=0,Assumptions!B12&lt;=0),B5,MAX(B5+B7,0))</f>
        <v>3714906292.5742817</v>
      </c>
    </row>
    <row r="9" spans="1:2" x14ac:dyDescent="0.25">
      <c r="A9" t="s">
        <v>68</v>
      </c>
      <c r="B9" s="18">
        <f>B8*(1+Assumptions!B12)/(Assumptions!B26-Assumptions!B12)</f>
        <v>90351281013.80132</v>
      </c>
    </row>
    <row r="10" spans="1:2" x14ac:dyDescent="0.25">
      <c r="A10" t="s">
        <v>69</v>
      </c>
      <c r="B10" s="18">
        <f>B9/(1+Assumptions!B26)^(10-0.5*Assumptions!B32)</f>
        <v>48732078558.548195</v>
      </c>
    </row>
    <row r="11" spans="1:2" x14ac:dyDescent="0.25">
      <c r="A11" t="s">
        <v>70</v>
      </c>
      <c r="B11" s="18">
        <f>Forecast!B17+B10</f>
        <v>31766933548.395355</v>
      </c>
    </row>
    <row r="12" spans="1:2" x14ac:dyDescent="0.25">
      <c r="A12" t="s">
        <v>71</v>
      </c>
      <c r="B12" s="18">
        <f>-Assumptions!B30</f>
        <v>-48691000000</v>
      </c>
    </row>
    <row r="13" spans="1:2" x14ac:dyDescent="0.25">
      <c r="A13" t="s">
        <v>72</v>
      </c>
      <c r="B13" s="18">
        <f>B11+B12</f>
        <v>-16924066451.604645</v>
      </c>
    </row>
    <row r="14" spans="1:2" x14ac:dyDescent="0.25">
      <c r="A14" s="19" t="s">
        <v>73</v>
      </c>
      <c r="B14" s="24">
        <f>B13/Assumptions!B31</f>
        <v>-19.253772982485376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12637418255.551945</v>
      </c>
    </row>
    <row r="18" spans="1:2" x14ac:dyDescent="0.25">
      <c r="A18" t="s">
        <v>68</v>
      </c>
      <c r="B18" s="18">
        <f>B17*Assumptions!B13</f>
        <v>178044082427.35956</v>
      </c>
    </row>
    <row r="19" spans="1:2" x14ac:dyDescent="0.25">
      <c r="A19" t="s">
        <v>69</v>
      </c>
      <c r="B19" s="18">
        <f>B18/(1+Assumptions!B26)^(10-0.5*Assumptions!B32)</f>
        <v>96030273332.91902</v>
      </c>
    </row>
    <row r="20" spans="1:2" x14ac:dyDescent="0.25">
      <c r="A20" t="s">
        <v>70</v>
      </c>
      <c r="B20" s="18">
        <f>Forecast!B17+B19</f>
        <v>79065128322.76617</v>
      </c>
    </row>
    <row r="21" spans="1:2" x14ac:dyDescent="0.25">
      <c r="A21" t="s">
        <v>71</v>
      </c>
      <c r="B21" s="18">
        <f>-Assumptions!B30</f>
        <v>-48691000000</v>
      </c>
    </row>
    <row r="22" spans="1:2" x14ac:dyDescent="0.25">
      <c r="A22" t="s">
        <v>72</v>
      </c>
      <c r="B22" s="18">
        <f>B20+B21</f>
        <v>30374128322.766174</v>
      </c>
    </row>
    <row r="23" spans="1:2" x14ac:dyDescent="0.25">
      <c r="A23" s="19" t="s">
        <v>73</v>
      </c>
      <c r="B23" s="25">
        <f>B22/Assumptions!B31</f>
        <v>34.55532232396607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66.62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-19.253772982485376</v>
      </c>
    </row>
    <row r="29" spans="1:2" x14ac:dyDescent="0.25">
      <c r="A29" s="19" t="s">
        <v>81</v>
      </c>
      <c r="B29" s="11">
        <f>B28/B26-1</f>
        <v>-1.2890089009679582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0.047144</v>
      </c>
      <c r="B5" s="31">
        <v>19.827521994824856</v>
      </c>
      <c r="C5" s="31">
        <v>17.905747496157442</v>
      </c>
      <c r="D5" s="31">
        <v>15.983972997489973</v>
      </c>
      <c r="E5" s="31">
        <v>14.06219849882259</v>
      </c>
      <c r="F5" s="31">
        <v>12.140424000155088</v>
      </c>
    </row>
    <row r="6" spans="1:6" x14ac:dyDescent="0.25">
      <c r="A6" s="30">
        <v>0.057144</v>
      </c>
      <c r="B6" s="31">
        <v>-1.9852375822498898</v>
      </c>
      <c r="C6" s="31">
        <v>-3.480929998167001</v>
      </c>
      <c r="D6" s="31">
        <v>-4.976622414084173</v>
      </c>
      <c r="E6" s="31">
        <v>-6.47231483000131</v>
      </c>
      <c r="F6" s="31">
        <v>-7.968007245918456</v>
      </c>
    </row>
    <row r="7" spans="1:6" x14ac:dyDescent="0.25">
      <c r="A7" s="30">
        <v>0.067144</v>
      </c>
      <c r="B7" s="31">
        <v>-16.849720079699345</v>
      </c>
      <c r="C7" s="31">
        <v>-18.05165028789025</v>
      </c>
      <c r="D7" s="32">
        <v>-19.25358049608117</v>
      </c>
      <c r="E7" s="31">
        <v>-20.455510704272083</v>
      </c>
      <c r="F7" s="31">
        <v>-21.657440912463017</v>
      </c>
    </row>
    <row r="8" spans="1:6" x14ac:dyDescent="0.25">
      <c r="A8" s="30">
        <v>0.077144</v>
      </c>
      <c r="B8" s="31">
        <v>-27.498821045018804</v>
      </c>
      <c r="C8" s="31">
        <v>-28.487465428287866</v>
      </c>
      <c r="D8" s="31">
        <v>-29.476109811556924</v>
      </c>
      <c r="E8" s="31">
        <v>-30.464754194825964</v>
      </c>
      <c r="F8" s="31">
        <v>-31.453398578095026</v>
      </c>
    </row>
    <row r="9" spans="1:6" x14ac:dyDescent="0.25">
      <c r="A9" s="30">
        <v>0.087144</v>
      </c>
      <c r="B9" s="31">
        <v>-35.4085495613328</v>
      </c>
      <c r="C9" s="31">
        <v>-36.236369309875016</v>
      </c>
      <c r="D9" s="31">
        <v>-37.064189058417256</v>
      </c>
      <c r="E9" s="31">
        <v>-37.89200880695949</v>
      </c>
      <c r="F9" s="31">
        <v>-38.719828555501735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16506000000</v>
      </c>
      <c r="C5" s="18">
        <v>14459000000</v>
      </c>
      <c r="D5" s="18">
        <v>14393000000</v>
      </c>
      <c r="E5" s="18">
        <v>13938000000</v>
      </c>
      <c r="F5" s="6" t="s">
        <v>91</v>
      </c>
    </row>
    <row r="6" spans="1:6" x14ac:dyDescent="0.25">
      <c r="A6" t="s">
        <v>51</v>
      </c>
      <c r="B6" s="18">
        <v>4931000000</v>
      </c>
      <c r="C6" s="18">
        <v>3847000000</v>
      </c>
      <c r="D6" s="18">
        <v>3721000000</v>
      </c>
      <c r="E6" s="18">
        <v>3260000000</v>
      </c>
      <c r="F6" s="6" t="s">
        <v>92</v>
      </c>
    </row>
    <row r="7" spans="1:6" x14ac:dyDescent="0.25">
      <c r="A7" t="s">
        <v>93</v>
      </c>
      <c r="B7" s="18">
        <v>2684000000</v>
      </c>
      <c r="C7" s="18">
        <v>2639000000</v>
      </c>
      <c r="D7" s="18">
        <v>3128000000</v>
      </c>
      <c r="E7" s="18">
        <v>3113000000</v>
      </c>
      <c r="F7" s="6" t="s">
        <v>94</v>
      </c>
    </row>
    <row r="8" spans="1:6" x14ac:dyDescent="0.25">
      <c r="A8" t="s">
        <v>95</v>
      </c>
      <c r="B8" s="18">
        <v>12641000000</v>
      </c>
      <c r="C8" s="18">
        <v>12198000000</v>
      </c>
      <c r="D8" s="18">
        <v>10211000000</v>
      </c>
      <c r="E8" s="18">
        <v>7591000000</v>
      </c>
      <c r="F8" s="6" t="s">
        <v>96</v>
      </c>
    </row>
    <row r="9" spans="1:6" x14ac:dyDescent="0.25">
      <c r="A9" t="s">
        <v>97</v>
      </c>
      <c r="B9" s="18">
        <v>1371000000</v>
      </c>
      <c r="C9" s="18">
        <v>-547000000</v>
      </c>
      <c r="D9" s="18">
        <v>-50000000</v>
      </c>
      <c r="E9" s="18">
        <v>3148000000</v>
      </c>
      <c r="F9" s="6" t="s">
        <v>98</v>
      </c>
    </row>
    <row r="10" spans="1:6" x14ac:dyDescent="0.25">
      <c r="A10" t="s">
        <v>99</v>
      </c>
      <c r="B10" s="18">
        <v>48941000000</v>
      </c>
      <c r="C10" s="18">
        <v>41750000000</v>
      </c>
      <c r="D10" s="18">
        <v>44243000000</v>
      </c>
      <c r="E10" s="18">
        <v>41203000000</v>
      </c>
      <c r="F10" s="6" t="s">
        <v>100</v>
      </c>
    </row>
    <row r="11" spans="1:6" x14ac:dyDescent="0.25">
      <c r="A11" t="s">
        <v>101</v>
      </c>
      <c r="B11" s="18">
        <v>250000000</v>
      </c>
      <c r="C11" s="18">
        <v>310000000</v>
      </c>
      <c r="D11" s="18">
        <v>184000000</v>
      </c>
      <c r="E11" s="18">
        <v>119000000</v>
      </c>
      <c r="F11" s="6" t="s">
        <v>102</v>
      </c>
    </row>
    <row r="12" spans="1:6" x14ac:dyDescent="0.25">
      <c r="A12" t="s">
        <v>34</v>
      </c>
      <c r="B12" s="34">
        <v>879000000</v>
      </c>
      <c r="C12" s="34">
        <v>839400000</v>
      </c>
      <c r="D12" s="34">
        <v>838000000</v>
      </c>
      <c r="E12" s="34">
        <v>824800000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