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<sst xmlns="http://schemas.openxmlformats.org/spreadsheetml/2006/main" count="113" uniqueCount="101">
  <si>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DFI Retail Group Holdings Limited (D01.SI)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</si>
  <si>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</si>
  <si>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</si>
  <si>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</si>
  <si>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</si>
  <si>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</si>
  <si>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</si>
  <si>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</si>
  <si>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</si>
  <si>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</si>
  <si>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</si>
  <si>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</si>
  <si>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</si>
  <si>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</si>
  <si>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</si>
  <si>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</si>
  <si>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</si>
  <si>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</si>
  <si>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</si>
  <si>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</si>
  <si>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</si>
  <si>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</si>
  <si>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</si>
  <si>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</si>
  <si>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</si>
  <si>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</si>
  <si>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</si>
  <si>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</si>
  <si>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</si>
  <si>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</si>
  <si>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</si>
  <si>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</si>
  <si>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</si>
  <si>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</si>
  <si>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</si>
  <si>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</si>
  <si>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</si>
  <si>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</si>
  <si>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</si>
  <si>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</si>
  <si>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</si>
  <si>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</si>
  <si>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</si>
  <si>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</si>
  <si>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</si>
  <si>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</si>
  <si>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</si>
  <si>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</si>
  <si>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</si>
  <si>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</si>
  <si>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</si>
  <si>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</si>
  <si>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</si>
  <si>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</si>
  <si>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</si>
  <si>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</si>
  <si>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</si>
  <si>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</si>
  <si>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</si>
  <si>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</si>
  <si>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</si>
  <si>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</si>
  <si>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</si>
  <si>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</si>
  <si>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</si>
  <si>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</si>
  <si>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</si>
  <si>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</si>
  <si>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</si>
  <si>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</si>
  <si>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</si>
  <si>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</si>
  <si>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</si>
  <si>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</si>
  <si>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</si>
  <si>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</si>
  <si>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</si>
  <si>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</si>
  <si>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</si>
  <si>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</si>
  <si>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</si>
  <si>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</si>
  <si>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</si>
  <si>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</si>
  <si>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</si>
  <si>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</si>
  <si>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</si>
  <si>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</si>
  <si>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</si>
  <si>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</si>
  <si>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</si>
  <si>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</si>
  <si>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</si>
  <si>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</si>
  <si>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</si>
  <si>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</si>
  <si>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</si>
  <si>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</si>
  <si>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2.11% of revenue against depreciation of 9.33%. A business cannot depreciate more than it invests indefinitely. Capex has been set to 9.33%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</si>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</sst>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-0.011218076661073328</v>
      </c>
    </row>
    <row r="7" spans="1:2" x14ac:dyDescent="0.25">
      <c r="A7" t="s">
        <v>5</v>
      </c>
      <c r="B7" s="6">
        <v>0.034726015535857455</v>
      </c>
    </row>
    <row r="8" spans="1:2" x14ac:dyDescent="0.25">
      <c r="A8" t="s">
        <v>6</v>
      </c>
      <c r="B8" s="6">
        <v>0.17460796139927623</v>
      </c>
    </row>
    <row r="9" spans="1:2" x14ac:dyDescent="0.25">
      <c r="A9" t="s">
        <v>7</v>
      </c>
      <c r="B9" s="6">
        <v>0.09328087159131107</v>
      </c>
    </row>
    <row r="10" spans="1:2" x14ac:dyDescent="0.25">
      <c r="A10" t="s">
        <v>8</v>
      </c>
      <c r="B10" s="6">
        <v>0.09328087159131107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5.320559860915639</v>
      </c>
    </row>
    <row r="14" spans="1:3" x14ac:dyDescent="0.25">
      <c r="A14" t="s">
        <v>12</v>
      </c>
      <c r="B14" s="6">
        <v>0.17071437791606797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0.63954</v>
      </c>
      <c r="C19" s="8" t="s">
        <v>19</v>
      </c>
    </row>
    <row r="20" spans="1:2" x14ac:dyDescent="0.25">
      <c r="A20" t="s">
        <v>20</v>
      </c>
      <c r="B20" s="10">
        <f>B17+B19*B18</f>
        <v>0.08357010000000001</v>
      </c>
    </row>
    <row r="21" spans="1:3" x14ac:dyDescent="0.25">
      <c r="A21" t="s">
        <v>21</v>
      </c>
      <c r="B21" s="6">
        <v>0.044731153512280644</v>
      </c>
      <c r="C21" s="8" t="s">
        <v>22</v>
      </c>
    </row>
    <row r="22" spans="1:2" x14ac:dyDescent="0.25">
      <c r="A22" t="s">
        <v>23</v>
      </c>
      <c r="B22" s="11">
        <v>4224704256</v>
      </c>
    </row>
    <row r="23" spans="1:2" x14ac:dyDescent="0.25">
      <c r="A23" t="s">
        <v>24</v>
      </c>
      <c r="B23" s="11">
        <v>2370700000</v>
      </c>
    </row>
    <row r="24" spans="1:2" x14ac:dyDescent="0.25">
      <c r="A24" t="s">
        <v>25</v>
      </c>
      <c r="B24" s="10">
        <f>B22/(B22+B23)</f>
        <v>0.640552738242949</v>
      </c>
    </row>
    <row r="25" spans="1:2" x14ac:dyDescent="0.25">
      <c r="A25" t="s">
        <v>26</v>
      </c>
      <c r="B25" s="10">
        <f>1-B24</f>
        <v>0.359447261757051</v>
      </c>
    </row>
    <row r="26" spans="1:2" x14ac:dyDescent="0.25">
      <c r="A26" t="s">
        <v>27</v>
      </c>
      <c r="B26" s="12">
        <f>B24*B20+B25*B21*(1-B8)</f>
        <v>0.06680211456152083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8868900000</v>
      </c>
      <c r="C29" s="8" t="s">
        <v>30</v>
      </c>
    </row>
    <row r="30" spans="1:2" x14ac:dyDescent="0.25">
      <c r="A30" t="s">
        <v>31</v>
      </c>
      <c r="B30" s="11">
        <v>2202000000</v>
      </c>
    </row>
    <row r="31" spans="1:2" x14ac:dyDescent="0.25">
      <c r="A31" t="s">
        <v>32</v>
      </c>
      <c r="B31" s="13">
        <v>1353700000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-0.011218076661073328</v>
      </c>
      <c r="C5" s="10">
        <f>Assumptions!B6</f>
        <v>-0.011218076661073328</v>
      </c>
      <c r="D5" s="10">
        <f>Assumptions!B6</f>
        <v>-0.011218076661073328</v>
      </c>
      <c r="E5" s="10">
        <f>Assumptions!B6</f>
        <v>-0.011218076661073328</v>
      </c>
      <c r="F5" s="10">
        <f>Assumptions!B6</f>
        <v>-0.011218076661073328</v>
      </c>
    </row>
    <row r="6" spans="1:6" x14ac:dyDescent="0.25">
      <c r="A6" t="s">
        <v>43</v>
      </c>
      <c r="B6" s="18">
        <f>Assumptions!B29*(1+B5)</f>
        <v>8769407999.900606</v>
      </c>
      <c r="C6" s="18">
        <f>B6*(1+C5)</f>
        <v>8671032108.685492</v>
      </c>
      <c r="D6" s="18">
        <f>C6*(1+D5)</f>
        <v>8573759805.759629</v>
      </c>
      <c r="E6" s="18">
        <f>D6*(1+E5)</f>
        <v>8477578710.984988</v>
      </c>
      <c r="F6" s="18">
        <f>E6*(1+F5)</f>
        <v>8382476583.104876</v>
      </c>
    </row>
    <row r="7" spans="1:6" x14ac:dyDescent="0.25">
      <c r="A7" t="s">
        <v>5</v>
      </c>
      <c r="B7" s="10">
        <f>Assumptions!B7</f>
        <v>0.034726015535857455</v>
      </c>
      <c r="C7" s="10">
        <f>Assumptions!B7</f>
        <v>0.034726015535857455</v>
      </c>
      <c r="D7" s="10">
        <f>Assumptions!B7</f>
        <v>0.034726015535857455</v>
      </c>
      <c r="E7" s="10">
        <f>Assumptions!B7</f>
        <v>0.034726015535857455</v>
      </c>
      <c r="F7" s="10">
        <f>Assumptions!B7</f>
        <v>0.034726015535857455</v>
      </c>
    </row>
    <row r="8" spans="1:6" x14ac:dyDescent="0.25">
      <c r="A8" t="s">
        <v>44</v>
      </c>
      <c r="B8" s="18">
        <f>B6*B7</f>
        <v>304526598.4448211</v>
      </c>
      <c r="C8" s="18">
        <f>C6*C7</f>
        <v>301110395.7181312</v>
      </c>
      <c r="D8" s="18">
        <f>D6*D7</f>
        <v>297732516.2155191</v>
      </c>
      <c r="E8" s="18">
        <f>E6*E7</f>
        <v>294392530.02411914</v>
      </c>
      <c r="F8" s="18">
        <f>F6*F7</f>
        <v>291090012.0538612</v>
      </c>
    </row>
    <row r="9" spans="1:6" x14ac:dyDescent="0.25">
      <c r="A9" t="s">
        <v>45</v>
      </c>
      <c r="B9" s="18">
        <f>B8*(1-Assumptions!B8)</f>
        <v>251353829.8985149</v>
      </c>
      <c r="C9" s="18">
        <f>C8*(1-Assumptions!B8)</f>
        <v>248534123.36565894</v>
      </c>
      <c r="D9" s="18">
        <f>D8*(1-Assumptions!B8)</f>
        <v>245746048.51685032</v>
      </c>
      <c r="E9" s="18">
        <f>E8*(1-Assumptions!B8)</f>
        <v>242989250.50543246</v>
      </c>
      <c r="F9" s="18">
        <f>F8*(1-Assumptions!B8)</f>
        <v>240263378.46544576</v>
      </c>
    </row>
    <row r="10" spans="1:6" x14ac:dyDescent="0.25">
      <c r="A10" t="s">
        <v>46</v>
      </c>
      <c r="B10" s="18">
        <f>B6*Assumptions!B9</f>
        <v>818018021.5705445</v>
      </c>
      <c r="C10" s="18">
        <f>C6*Assumptions!B9</f>
        <v>808841432.6944267</v>
      </c>
      <c r="D10" s="18">
        <f>D6*Assumptions!B9</f>
        <v>799767787.4958081</v>
      </c>
      <c r="E10" s="18">
        <f>E6*Assumptions!B9</f>
        <v>790795931.1446232</v>
      </c>
      <c r="F10" s="18">
        <f>F6*Assumptions!B9</f>
        <v>781924721.7657778</v>
      </c>
    </row>
    <row r="11" spans="1:6" x14ac:dyDescent="0.25">
      <c r="A11" t="s">
        <v>47</v>
      </c>
      <c r="B11" s="18">
        <f>-B6*Assumptions!B10</f>
        <v>-818018021.5705445</v>
      </c>
      <c r="C11" s="18">
        <f>-C6*Assumptions!B10</f>
        <v>-808841432.6944267</v>
      </c>
      <c r="D11" s="18">
        <f>-D6*Assumptions!B10</f>
        <v>-799767787.4958081</v>
      </c>
      <c r="E11" s="18">
        <f>-E6*Assumptions!B10</f>
        <v>-790795931.1446232</v>
      </c>
      <c r="F11" s="18">
        <f>-F6*Assumptions!B10</f>
        <v>-781924721.7657778</v>
      </c>
    </row>
    <row r="12" spans="1:6" x14ac:dyDescent="0.25">
      <c r="A12" t="s">
        <v>48</v>
      </c>
      <c r="B12" s="18">
        <f>-(B6-Assumptions!B29)*Assumptions!B11</f>
        <v>99492000.09939384</v>
      </c>
      <c r="C12" s="18">
        <f>-(C6-B6)*Assumptions!B11</f>
        <v>98375891.2151146</v>
      </c>
      <c r="D12" s="18">
        <f>-(D6-C6)*Assumptions!B11</f>
        <v>97272302.92586231</v>
      </c>
      <c r="E12" s="18">
        <f>-(E6-D6)*Assumptions!B11</f>
        <v>96181094.77464104</v>
      </c>
      <c r="F12" s="18">
        <f>-(F6-E6)*Assumptions!B11</f>
        <v>95102127.88011265</v>
      </c>
    </row>
    <row r="13" spans="1:6" x14ac:dyDescent="0.25">
      <c r="A13" s="19" t="s">
        <v>49</v>
      </c>
      <c r="B13" s="20">
        <f>B9+B10+B11+B12</f>
        <v>350845829.9979087</v>
      </c>
      <c r="C13" s="20">
        <f>C9+C10+C11+C12</f>
        <v>346910014.5807735</v>
      </c>
      <c r="D13" s="20">
        <f>D9+D10+D11+D12</f>
        <v>343018351.44271266</v>
      </c>
      <c r="E13" s="20">
        <f>E9+E10+E11+E12</f>
        <v>339170345.2800735</v>
      </c>
      <c r="F13" s="20">
        <f>F9+F10+F11+F12</f>
        <v>335365506.3455584</v>
      </c>
    </row>
    <row r="14" spans="1:6" x14ac:dyDescent="0.25">
      <c r="A14" t="s">
        <v>50</v>
      </c>
      <c r="B14" s="21">
        <f>1/(1+Assumptions!$B$26)^(1-0.5*Assumptions!$B$32)</f>
        <v>0.9681843673151778</v>
      </c>
      <c r="C14" s="21">
        <f>1/(1+Assumptions!$B$26)^(2-0.5*Assumptions!$B$32)</f>
        <v>0.9075576005144338</v>
      </c>
      <c r="D14" s="21">
        <f>1/(1+Assumptions!$B$26)^(3-0.5*Assumptions!$B$32)</f>
        <v>0.8507272230965347</v>
      </c>
      <c r="E14" s="21">
        <f>1/(1+Assumptions!$B$26)^(4-0.5*Assumptions!$B$32)</f>
        <v>0.7974555088374589</v>
      </c>
      <c r="F14" s="21">
        <f>1/(1+Assumptions!$B$26)^(5-0.5*Assumptions!$B$32)</f>
        <v>0.7475196176989495</v>
      </c>
    </row>
    <row r="15" spans="1:6" x14ac:dyDescent="0.25">
      <c r="A15" s="19" t="s">
        <v>51</v>
      </c>
      <c r="B15" s="20">
        <f>B13*B14</f>
        <v>339683447.94169366</v>
      </c>
      <c r="C15" s="20">
        <f>C13*C14</f>
        <v>314840820.42735404</v>
      </c>
      <c r="D15" s="20">
        <f>D13*D14</f>
        <v>291815049.5940102</v>
      </c>
      <c r="E15" s="20">
        <f>E13*E14</f>
        <v>270473260.27789766</v>
      </c>
      <c r="F15" s="20">
        <f>F13*F14</f>
        <v>250692295.09284642</v>
      </c>
    </row>
    <row r="17" spans="1:2" x14ac:dyDescent="0.25">
      <c r="A17" s="22" t="s">
        <v>52</v>
      </c>
      <c r="B17" s="23">
        <f>SUM(B15:F15)</f>
        <v>1467504873.3338017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335365506.3455584</v>
      </c>
    </row>
    <row r="5" spans="1:2" x14ac:dyDescent="0.25">
      <c r="A5" t="s">
        <v>56</v>
      </c>
      <c r="B5" s="18">
        <f>IF(Assumptions!$B$33=0,B4,B4-Forecast!F11-Forecast!F10-Forecast!F12)</f>
        <v>240263378.46544576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0.14644343555111272</v>
      </c>
    </row>
    <row r="7" spans="1:2" x14ac:dyDescent="0.25">
      <c r="A7" t="s">
        <v>58</v>
      </c>
      <c r="B7" s="18">
        <f>-MAX(Forecast!F9,0)*B6</f>
        <v>-35184994.57959711</v>
      </c>
    </row>
    <row r="8" spans="1:2" x14ac:dyDescent="0.25">
      <c r="A8" t="s">
        <v>59</v>
      </c>
      <c r="B8" s="18">
        <f>IF(OR(Assumptions!$B$33=0,Assumptions!B12&lt;=0),B5,MAX(B5+B7,0))</f>
        <v>205078383.88584864</v>
      </c>
    </row>
    <row r="9" spans="1:2" x14ac:dyDescent="0.25">
      <c r="A9" t="s">
        <v>60</v>
      </c>
      <c r="B9" s="18">
        <f>B8*(1+Assumptions!B12)/(Assumptions!B26-Assumptions!B12)</f>
        <v>5028581584.638077</v>
      </c>
    </row>
    <row r="10" spans="1:2" x14ac:dyDescent="0.25">
      <c r="A10" t="s">
        <v>61</v>
      </c>
      <c r="B10" s="18">
        <f>B9/(1+Assumptions!B26)^(5-0.5*Assumptions!B32)</f>
        <v>3758963383.716633</v>
      </c>
    </row>
    <row r="11" spans="1:2" x14ac:dyDescent="0.25">
      <c r="A11" t="s">
        <v>62</v>
      </c>
      <c r="B11" s="18">
        <f>Forecast!B17+B10</f>
        <v>5226468257.050434</v>
      </c>
    </row>
    <row r="12" spans="1:2" x14ac:dyDescent="0.25">
      <c r="A12" t="s">
        <v>63</v>
      </c>
      <c r="B12" s="18">
        <f>-Assumptions!B30</f>
        <v>-2202000000</v>
      </c>
    </row>
    <row r="13" spans="1:2" x14ac:dyDescent="0.25">
      <c r="A13" t="s">
        <v>64</v>
      </c>
      <c r="B13" s="18">
        <f>B11+B12</f>
        <v>3024468257.050434</v>
      </c>
    </row>
    <row r="14" spans="1:2" x14ac:dyDescent="0.25">
      <c r="A14" s="19" t="s">
        <v>65</v>
      </c>
      <c r="B14" s="24">
        <f>B13/Assumptions!B31</f>
        <v>2.234223429896162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1073014733.819639</v>
      </c>
    </row>
    <row r="18" spans="1:2" x14ac:dyDescent="0.25">
      <c r="A18" t="s">
        <v>60</v>
      </c>
      <c r="B18" s="18">
        <f>B17*Assumptions!B13</f>
        <v>5709039122.9318495</v>
      </c>
    </row>
    <row r="19" spans="1:2" x14ac:dyDescent="0.25">
      <c r="A19" t="s">
        <v>61</v>
      </c>
      <c r="B19" s="18">
        <f>B18/(1+Assumptions!B26)^(5-0.5*Assumptions!B32)</f>
        <v>4267618742.602362</v>
      </c>
    </row>
    <row r="20" spans="1:2" x14ac:dyDescent="0.25">
      <c r="A20" t="s">
        <v>62</v>
      </c>
      <c r="B20" s="18">
        <f>Forecast!B17+B19</f>
        <v>5735123615.936164</v>
      </c>
    </row>
    <row r="21" spans="1:2" x14ac:dyDescent="0.25">
      <c r="A21" t="s">
        <v>63</v>
      </c>
      <c r="B21" s="18">
        <f>-Assumptions!B30</f>
        <v>-2202000000</v>
      </c>
    </row>
    <row r="22" spans="1:2" x14ac:dyDescent="0.25">
      <c r="A22" t="s">
        <v>64</v>
      </c>
      <c r="B22" s="18">
        <f>B20+B21</f>
        <v>3533123615.936164</v>
      </c>
    </row>
    <row r="23" spans="1:2" x14ac:dyDescent="0.25">
      <c r="A23" s="19" t="s">
        <v>65</v>
      </c>
      <c r="B23" s="25">
        <f>B22/Assumptions!B31</f>
        <v>2.60997533865418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2.234223429896162</v>
      </c>
    </row>
    <row r="29" spans="1:2" x14ac:dyDescent="0.25">
      <c r="A29" s="19" t="s">
        <v>73</v>
      </c>
      <c r="B29" s="12">
        <f>B28/B26-1</f>
        <v>-0.2839027468281533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0.046802</v>
      </c>
      <c r="B5" s="31">
        <v>3.7128544961417096</v>
      </c>
      <c r="C5" s="31">
        <v>4.3610062382613615</v>
      </c>
      <c r="D5" s="31">
        <v>5.304507230182946</v>
      </c>
      <c r="E5" s="31">
        <v>6.807030769551335</v>
      </c>
      <c r="F5" s="31">
        <v>9.579078314738156</v>
      </c>
    </row>
    <row r="6" spans="1:6" x14ac:dyDescent="0.25">
      <c r="A6" s="30">
        <v>0.056802</v>
      </c>
      <c r="B6" s="31">
        <v>2.5474011341153657</v>
      </c>
      <c r="C6" s="31">
        <v>2.8686965839753684</v>
      </c>
      <c r="D6" s="31">
        <v>3.289747192816241</v>
      </c>
      <c r="E6" s="31">
        <v>3.8663819056686917</v>
      </c>
      <c r="F6" s="31">
        <v>4.705644184608384</v>
      </c>
    </row>
    <row r="7" spans="1:6" x14ac:dyDescent="0.25">
      <c r="A7" s="30">
        <v>0.066802</v>
      </c>
      <c r="B7" s="31">
        <v>1.8286054177218836</v>
      </c>
      <c r="C7" s="31">
        <v>2.0101669796819235</v>
      </c>
      <c r="D7" s="32">
        <v>2.234232655226848</v>
      </c>
      <c r="E7" s="31">
        <v>2.5181265491274094</v>
      </c>
      <c r="F7" s="31">
        <v>2.8900677443134417</v>
      </c>
    </row>
    <row r="8" spans="1:6" x14ac:dyDescent="0.25">
      <c r="A8" s="30">
        <v>0.076802</v>
      </c>
      <c r="B8" s="31">
        <v>1.3398069234589247</v>
      </c>
      <c r="C8" s="31">
        <v>1.4508692245693993</v>
      </c>
      <c r="D8" s="31">
        <v>1.5826520013186374</v>
      </c>
      <c r="E8" s="31">
        <v>1.7417961479970874</v>
      </c>
      <c r="F8" s="31">
        <v>1.9381198682538108</v>
      </c>
    </row>
    <row r="9" spans="1:6" x14ac:dyDescent="0.25">
      <c r="A9" s="30">
        <v>0.086802</v>
      </c>
      <c r="B9" s="31">
        <v>0.9850350711462583</v>
      </c>
      <c r="C9" s="31">
        <v>1.0565670324100258</v>
      </c>
      <c r="D9" s="31">
        <v>1.1390950269632638</v>
      </c>
      <c r="E9" s="31">
        <v>1.2355228345908769</v>
      </c>
      <c r="F9" s="31">
        <v>1.349875342287876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8868900000</v>
      </c>
      <c r="C5" s="18">
        <v>8868900000</v>
      </c>
      <c r="D5" s="18">
        <v>9169900000</v>
      </c>
      <c r="E5" s="18">
        <v>9174200000</v>
      </c>
      <c r="F5" s="8" t="s">
        <v>84</v>
      </c>
    </row>
    <row r="6" spans="1:6" x14ac:dyDescent="0.25">
      <c r="A6" t="s">
        <v>44</v>
      </c>
      <c r="B6" s="18">
        <v>368500000</v>
      </c>
      <c r="C6" s="18">
        <v>343100000</v>
      </c>
      <c r="D6" s="18">
        <v>293800000</v>
      </c>
      <c r="E6" s="18">
        <v>244300000</v>
      </c>
      <c r="F6" s="8" t="s">
        <v>85</v>
      </c>
    </row>
    <row r="7" spans="1:6" x14ac:dyDescent="0.25">
      <c r="A7" t="s">
        <v>86</v>
      </c>
      <c r="B7" s="18">
        <v>839400000</v>
      </c>
      <c r="C7" s="18">
        <v>837400000</v>
      </c>
      <c r="D7" s="18">
        <v>827200000</v>
      </c>
      <c r="E7" s="18">
        <v>861000000</v>
      </c>
      <c r="F7" s="8" t="s">
        <v>87</v>
      </c>
    </row>
    <row r="8" spans="1:6" x14ac:dyDescent="0.25">
      <c r="A8" t="s">
        <v>88</v>
      </c>
      <c r="B8" s="18">
        <v>148800000</v>
      </c>
      <c r="C8" s="18">
        <v>173000000</v>
      </c>
      <c r="D8" s="18">
        <v>196300000</v>
      </c>
      <c r="E8" s="18">
        <v>243700000</v>
      </c>
      <c r="F8" s="8" t="s">
        <v>89</v>
      </c>
    </row>
    <row r="9" spans="1:6" x14ac:dyDescent="0.25">
      <c r="A9" t="s">
        <v>90</v>
      </c>
      <c r="B9" s="18">
        <v>34500000</v>
      </c>
      <c r="C9" s="18">
        <v>79100000</v>
      </c>
      <c r="D9" s="18">
        <v>-45400000</v>
      </c>
      <c r="E9" s="18">
        <v>6700000</v>
      </c>
      <c r="F9" s="8" t="s">
        <v>91</v>
      </c>
    </row>
    <row r="10" spans="1:6" x14ac:dyDescent="0.25">
      <c r="A10" t="s">
        <v>92</v>
      </c>
      <c r="B10" s="18">
        <v>2370700000</v>
      </c>
      <c r="C10" s="18">
        <v>3504400000</v>
      </c>
      <c r="D10" s="18">
        <v>3771900000</v>
      </c>
      <c r="E10" s="18">
        <v>3971900000</v>
      </c>
      <c r="F10" s="8" t="s">
        <v>93</v>
      </c>
    </row>
    <row r="11" spans="1:6" x14ac:dyDescent="0.25">
      <c r="A11" t="s">
        <v>94</v>
      </c>
      <c r="B11" s="18">
        <v>168700000</v>
      </c>
      <c r="C11" s="18">
        <v>273800000</v>
      </c>
      <c r="D11" s="18">
        <v>303400000</v>
      </c>
      <c r="E11" s="18">
        <v>230700000</v>
      </c>
      <c r="F11" s="8" t="s">
        <v>95</v>
      </c>
    </row>
    <row r="12" spans="1:6" x14ac:dyDescent="0.25">
      <c r="A12" t="s">
        <v>32</v>
      </c>
      <c r="B12" s="34">
        <v>1353700000</v>
      </c>
      <c r="C12" s="34">
        <v>1353700000</v>
      </c>
      <c r="D12" s="34">
        <v>1353600000</v>
      </c>
      <c r="E12" s="34">
        <v>1350800000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