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<sst xmlns="http://schemas.openxmlformats.org/spreadsheetml/2006/main" count="113" uniqueCount="101">
  <si>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DBS Group Holdings Ltd (D05.SI)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</si>
  <si>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</si>
  <si>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</si>
  <si>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</si>
  <si>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</si>
  <si>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</si>
  <si>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</si>
  <si>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</si>
  <si>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</si>
  <si>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</si>
  <si>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</si>
  <si>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</si>
  <si>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</si>
  <si>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</si>
  <si>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</si>
  <si>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</si>
  <si>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</si>
  <si>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</si>
  <si>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</si>
  <si>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</si>
  <si>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</si>
  <si>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</si>
  <si>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19.7% is not a credible funding cost, so risk-free + 2bp is assumed instead. Interest expense and reported debt are measuring different things - common for banks, whose interest expense includes deposits that total debt excludes.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</si>
  <si>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</si>
  <si>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</si>
  <si>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</si>
  <si>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</si>
  <si>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</si>
  <si>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</si>
  <si>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</si>
  <si>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2025-12-31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</si>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</sst>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0.1155050803802724</v>
      </c>
    </row>
    <row r="7" spans="1:2" x14ac:dyDescent="0.25">
      <c r="A7" t="s">
        <v>5</v>
      </c>
      <c r="B7" s="6">
        <v>0.5717432171209723</v>
      </c>
    </row>
    <row r="8" spans="1:2" x14ac:dyDescent="0.25">
      <c r="A8" t="s">
        <v>6</v>
      </c>
      <c r="B8" s="6">
        <v>0.12525770299067057</v>
      </c>
    </row>
    <row r="9" spans="1:2" x14ac:dyDescent="0.25">
      <c r="A9" t="s">
        <v>7</v>
      </c>
      <c r="B9" s="6">
        <v>0.03846520054965536</v>
      </c>
    </row>
    <row r="10" spans="1:2" x14ac:dyDescent="0.25">
      <c r="A10" t="s">
        <v>8</v>
      </c>
      <c r="B10" s="6">
        <v>0.03509543360587457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10.345362452116134</v>
      </c>
    </row>
    <row r="14" spans="1:3" x14ac:dyDescent="0.25">
      <c r="A14" t="s">
        <v>12</v>
      </c>
      <c r="B14" s="6">
        <v>0.08258431826705888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0.52564</v>
      </c>
      <c r="C19" s="8" t="s">
        <v>19</v>
      </c>
    </row>
    <row r="20" spans="1:2" x14ac:dyDescent="0.25">
      <c r="A20" t="s">
        <v>20</v>
      </c>
      <c r="B20" s="10">
        <f>B17+B19*B18</f>
        <v>0.0761666</v>
      </c>
    </row>
    <row r="21" spans="1:3" x14ac:dyDescent="0.25">
      <c r="A21" t="s">
        <v>21</v>
      </c>
      <c r="B21" s="6">
        <v>0.062</v>
      </c>
      <c r="C21" s="8" t="s">
        <v>22</v>
      </c>
    </row>
    <row r="22" spans="1:2" x14ac:dyDescent="0.25">
      <c r="A22" t="s">
        <v>23</v>
      </c>
      <c r="B22" s="11">
        <v>218589888512</v>
      </c>
    </row>
    <row r="23" spans="1:2" x14ac:dyDescent="0.25">
      <c r="A23" t="s">
        <v>24</v>
      </c>
      <c r="B23" s="11">
        <v>75004000000</v>
      </c>
    </row>
    <row r="24" spans="1:2" x14ac:dyDescent="0.25">
      <c r="A24" t="s">
        <v>25</v>
      </c>
      <c r="B24" s="10">
        <f>B22/(B22+B23)</f>
        <v>0.7445314669861244</v>
      </c>
    </row>
    <row r="25" spans="1:2" x14ac:dyDescent="0.25">
      <c r="A25" t="s">
        <v>26</v>
      </c>
      <c r="B25" s="10">
        <f>1-B24</f>
        <v>0.2554685330138756</v>
      </c>
    </row>
    <row r="26" spans="1:2" x14ac:dyDescent="0.25">
      <c r="A26" t="s">
        <v>27</v>
      </c>
      <c r="B26" s="12">
        <f>B24*B20+B25*B21*(1-B8)</f>
        <v>0.07056351657903934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22895000000</v>
      </c>
      <c r="C29" s="8" t="s">
        <v>30</v>
      </c>
    </row>
    <row r="30" spans="1:2" x14ac:dyDescent="0.25">
      <c r="A30" t="s">
        <v>31</v>
      </c>
      <c r="B30" s="11">
        <v>-75348000000</v>
      </c>
    </row>
    <row r="31" spans="1:2" x14ac:dyDescent="0.25">
      <c r="A31" t="s">
        <v>32</v>
      </c>
      <c r="B31" s="13">
        <v>2850000000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0.1155050803802724</v>
      </c>
      <c r="C5" s="10">
        <f>Assumptions!B6</f>
        <v>0.1155050803802724</v>
      </c>
      <c r="D5" s="10">
        <f>Assumptions!B6</f>
        <v>0.1155050803802724</v>
      </c>
      <c r="E5" s="10">
        <f>Assumptions!B6</f>
        <v>0.1155050803802724</v>
      </c>
      <c r="F5" s="10">
        <f>Assumptions!B6</f>
        <v>0.1155050803802724</v>
      </c>
    </row>
    <row r="6" spans="1:6" x14ac:dyDescent="0.25">
      <c r="A6" t="s">
        <v>43</v>
      </c>
      <c r="B6" s="18">
        <f>Assumptions!B29*(1+B5)</f>
        <v>25539488815.306335</v>
      </c>
      <c r="C6" s="18">
        <f>B6*(1+C5)</f>
        <v>28489429523.78936</v>
      </c>
      <c r="D6" s="18">
        <f>C6*(1+D5)</f>
        <v>31780103370.922756</v>
      </c>
      <c r="E6" s="18">
        <f>D6*(1+E5)</f>
        <v>35450866765.27456</v>
      </c>
      <c r="F6" s="18">
        <f>E6*(1+F5)</f>
        <v>39545621980.54793</v>
      </c>
    </row>
    <row r="7" spans="1:6" x14ac:dyDescent="0.25">
      <c r="A7" t="s">
        <v>5</v>
      </c>
      <c r="B7" s="10">
        <f>Assumptions!B7</f>
        <v>0.5717432171209723</v>
      </c>
      <c r="C7" s="10">
        <f>Assumptions!B7</f>
        <v>0.5717432171209723</v>
      </c>
      <c r="D7" s="10">
        <f>Assumptions!B7</f>
        <v>0.5717432171209723</v>
      </c>
      <c r="E7" s="10">
        <f>Assumptions!B7</f>
        <v>0.5717432171209723</v>
      </c>
      <c r="F7" s="10">
        <f>Assumptions!B7</f>
        <v>0.5717432171209723</v>
      </c>
    </row>
    <row r="8" spans="1:6" x14ac:dyDescent="0.25">
      <c r="A8" t="s">
        <v>44</v>
      </c>
      <c r="B8" s="18">
        <f>B6*B7</f>
        <v>14602029498.888334</v>
      </c>
      <c r="C8" s="18">
        <f>C6*C7</f>
        <v>16288638089.87254</v>
      </c>
      <c r="D8" s="18">
        <f>D6*D7</f>
        <v>18170058541.72843</v>
      </c>
      <c r="E8" s="18">
        <f>E6*E7</f>
        <v>20268792614.105034</v>
      </c>
      <c r="F8" s="18">
        <f>F6*F7</f>
        <v>22609941134.20831</v>
      </c>
    </row>
    <row r="9" spans="1:6" x14ac:dyDescent="0.25">
      <c r="A9" t="s">
        <v>45</v>
      </c>
      <c r="B9" s="18">
        <f>B8*(1-Assumptions!B8)</f>
        <v>12773012824.85557</v>
      </c>
      <c r="C9" s="18">
        <f>C8*(1-Assumptions!B8)</f>
        <v>14248360697.888762</v>
      </c>
      <c r="D9" s="18">
        <f>D8*(1-Assumptions!B8)</f>
        <v>15894118745.585516</v>
      </c>
      <c r="E9" s="18">
        <f>E8*(1-Assumptions!B8)</f>
        <v>17729970208.86797</v>
      </c>
      <c r="F9" s="18">
        <f>F8*(1-Assumptions!B8)</f>
        <v>19777871842.9831</v>
      </c>
    </row>
    <row r="10" spans="1:6" x14ac:dyDescent="0.25">
      <c r="A10" t="s">
        <v>46</v>
      </c>
      <c r="B10" s="18">
        <f>B6*Assumptions!B9</f>
        <v>982381559.2164382</v>
      </c>
      <c r="C10" s="18">
        <f>C6*Assumptions!B9</f>
        <v>1095851620.1778302</v>
      </c>
      <c r="D10" s="18">
        <f>D6*Assumptions!B9</f>
        <v>1222428049.6513221</v>
      </c>
      <c r="E10" s="18">
        <f>E6*Assumptions!B9</f>
        <v>1363624699.785398</v>
      </c>
      <c r="F10" s="18">
        <f>F6*Assumptions!B9</f>
        <v>1521130280.3426354</v>
      </c>
    </row>
    <row r="11" spans="1:6" x14ac:dyDescent="0.25">
      <c r="A11" t="s">
        <v>47</v>
      </c>
      <c r="B11" s="18">
        <f>-B6*Assumptions!B10</f>
        <v>-896319434.0455596</v>
      </c>
      <c r="C11" s="18">
        <f>-C6*Assumptions!B10</f>
        <v>-999848882.3213922</v>
      </c>
      <c r="D11" s="18">
        <f>-D6*Assumptions!B10</f>
        <v>-1115336507.84205</v>
      </c>
      <c r="E11" s="18">
        <f>-E6*Assumptions!B10</f>
        <v>-1244163540.8313985</v>
      </c>
      <c r="F11" s="18">
        <f>-F6*Assumptions!B10</f>
        <v>-1387870750.6213338</v>
      </c>
    </row>
    <row r="12" spans="1:6" x14ac:dyDescent="0.25">
      <c r="A12" t="s">
        <v>48</v>
      </c>
      <c r="B12" s="18">
        <f>-(B6-Assumptions!B29)*Assumptions!B11</f>
        <v>-2644488815.3063354</v>
      </c>
      <c r="C12" s="18">
        <f>-(C6-B6)*Assumptions!B11</f>
        <v>-2949940708.4830246</v>
      </c>
      <c r="D12" s="18">
        <f>-(D6-C6)*Assumptions!B11</f>
        <v>-3290673847.133396</v>
      </c>
      <c r="E12" s="18">
        <f>-(E6-D6)*Assumptions!B11</f>
        <v>-3670763394.351803</v>
      </c>
      <c r="F12" s="18">
        <f>-(F6-E6)*Assumptions!B11</f>
        <v>-4094755215.273369</v>
      </c>
    </row>
    <row r="13" spans="1:6" x14ac:dyDescent="0.25">
      <c r="A13" s="19" t="s">
        <v>49</v>
      </c>
      <c r="B13" s="20">
        <f>B9+B10+B11+B12</f>
        <v>10214586134.720114</v>
      </c>
      <c r="C13" s="20">
        <f>C9+C10+C11+C12</f>
        <v>11394422727.262175</v>
      </c>
      <c r="D13" s="20">
        <f>D9+D10+D11+D12</f>
        <v>12710536440.26139</v>
      </c>
      <c r="E13" s="20">
        <f>E9+E10+E11+E12</f>
        <v>14178667973.470165</v>
      </c>
      <c r="F13" s="20">
        <f>F9+F10+F11+F12</f>
        <v>15816376157.431034</v>
      </c>
    </row>
    <row r="14" spans="1:6" x14ac:dyDescent="0.25">
      <c r="A14" t="s">
        <v>50</v>
      </c>
      <c r="B14" s="21">
        <f>1/(1+Assumptions!$B$26)^(1-0.5*Assumptions!$B$32)</f>
        <v>0.966482023178853</v>
      </c>
      <c r="C14" s="21">
        <f>1/(1+Assumptions!$B$26)^(2-0.5*Assumptions!$B$32)</f>
        <v>0.9027787779161612</v>
      </c>
      <c r="D14" s="21">
        <f>1/(1+Assumptions!$B$26)^(3-0.5*Assumptions!$B$32)</f>
        <v>0.8432743727349963</v>
      </c>
      <c r="E14" s="21">
        <f>1/(1+Assumptions!$B$26)^(4-0.5*Assumptions!$B$32)</f>
        <v>0.7876920515932206</v>
      </c>
      <c r="F14" s="21">
        <f>1/(1+Assumptions!$B$26)^(5-0.5*Assumptions!$B$32)</f>
        <v>0.7357733001310116</v>
      </c>
    </row>
    <row r="15" spans="1:6" x14ac:dyDescent="0.25">
      <c r="A15" s="19" t="s">
        <v>51</v>
      </c>
      <c r="B15" s="20">
        <f>B13*B14</f>
        <v>9872213873.418955</v>
      </c>
      <c r="C15" s="20">
        <f>C13*C14</f>
        <v>10286643024.77788</v>
      </c>
      <c r="D15" s="20">
        <f>D13*D14</f>
        <v>10718469643.786737</v>
      </c>
      <c r="E15" s="20">
        <f>E13*E14</f>
        <v>11168424064.881807</v>
      </c>
      <c r="F15" s="20">
        <f>F13*F14</f>
        <v>11637267281.46648</v>
      </c>
    </row>
    <row r="17" spans="1:2" x14ac:dyDescent="0.25">
      <c r="A17" s="22" t="s">
        <v>52</v>
      </c>
      <c r="B17" s="23">
        <f>SUM(B15:F15)</f>
        <v>53683017888.33186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15816376157.431034</v>
      </c>
    </row>
    <row r="5" spans="1:2" x14ac:dyDescent="0.25">
      <c r="A5" t="s">
        <v>56</v>
      </c>
      <c r="B5" s="18">
        <f>IF(Assumptions!$B$33=0,B4,B4-Forecast!F11-Forecast!F10-Forecast!F12)</f>
        <v>19799378129.638786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0.30272091027204096</v>
      </c>
    </row>
    <row r="7" spans="1:2" x14ac:dyDescent="0.25">
      <c r="A7" t="s">
        <v>58</v>
      </c>
      <c r="B7" s="18">
        <f>-MAX(Forecast!F9,0)*B6</f>
        <v>-5993685770.224593</v>
      </c>
    </row>
    <row r="8" spans="1:2" x14ac:dyDescent="0.25">
      <c r="A8" t="s">
        <v>59</v>
      </c>
      <c r="B8" s="18">
        <f>IF(OR(Assumptions!$B$33=0,Assumptions!B12&lt;=0),B5,MAX(B5+B7,0))</f>
        <v>13805692359.414192</v>
      </c>
    </row>
    <row r="9" spans="1:2" x14ac:dyDescent="0.25">
      <c r="A9" t="s">
        <v>60</v>
      </c>
      <c r="B9" s="18">
        <f>B8*(1+Assumptions!B12)/(Assumptions!B26-Assumptions!B12)</f>
        <v>310573804018.22144</v>
      </c>
    </row>
    <row r="10" spans="1:2" x14ac:dyDescent="0.25">
      <c r="A10" t="s">
        <v>61</v>
      </c>
      <c r="B10" s="18">
        <f>B9/(1+Assumptions!B26)^(5-0.5*Assumptions!B32)</f>
        <v>228511912716.72882</v>
      </c>
    </row>
    <row r="11" spans="1:2" x14ac:dyDescent="0.25">
      <c r="A11" t="s">
        <v>62</v>
      </c>
      <c r="B11" s="18">
        <f>Forecast!B17+B10</f>
        <v>282194930605.06067</v>
      </c>
    </row>
    <row r="12" spans="1:2" x14ac:dyDescent="0.25">
      <c r="A12" t="s">
        <v>63</v>
      </c>
      <c r="B12" s="18">
        <f>-Assumptions!B30</f>
        <v>75348000000</v>
      </c>
    </row>
    <row r="13" spans="1:2" x14ac:dyDescent="0.25">
      <c r="A13" t="s">
        <v>64</v>
      </c>
      <c r="B13" s="18">
        <f>B11+B12</f>
        <v>357542930605.06067</v>
      </c>
    </row>
    <row r="14" spans="1:2" x14ac:dyDescent="0.25">
      <c r="A14" s="19" t="s">
        <v>65</v>
      </c>
      <c r="B14" s="24">
        <f>B13/Assumptions!B31</f>
        <v>125.4536598614248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24131071414.550945</v>
      </c>
    </row>
    <row r="18" spans="1:2" x14ac:dyDescent="0.25">
      <c r="A18" t="s">
        <v>60</v>
      </c>
      <c r="B18" s="18">
        <f>B17*Assumptions!B13</f>
        <v>249644680141.4283</v>
      </c>
    </row>
    <row r="19" spans="1:2" x14ac:dyDescent="0.25">
      <c r="A19" t="s">
        <v>61</v>
      </c>
      <c r="B19" s="18">
        <f>B18/(1+Assumptions!B26)^(5-0.5*Assumptions!B32)</f>
        <v>183681890167.80954</v>
      </c>
    </row>
    <row r="20" spans="1:2" x14ac:dyDescent="0.25">
      <c r="A20" t="s">
        <v>62</v>
      </c>
      <c r="B20" s="18">
        <f>Forecast!B17+B19</f>
        <v>237364908056.14142</v>
      </c>
    </row>
    <row r="21" spans="1:2" x14ac:dyDescent="0.25">
      <c r="A21" t="s">
        <v>63</v>
      </c>
      <c r="B21" s="18">
        <f>-Assumptions!B30</f>
        <v>75348000000</v>
      </c>
    </row>
    <row r="22" spans="1:2" x14ac:dyDescent="0.25">
      <c r="A22" t="s">
        <v>64</v>
      </c>
      <c r="B22" s="18">
        <f>B20+B21</f>
        <v>312712908056.1414</v>
      </c>
    </row>
    <row r="23" spans="1:2" x14ac:dyDescent="0.25">
      <c r="A23" s="19" t="s">
        <v>65</v>
      </c>
      <c r="B23" s="25">
        <f>B22/Assumptions!B31</f>
        <v>109.7238273881198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76.86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125.4536598614248</v>
      </c>
    </row>
    <row r="29" spans="1:2" x14ac:dyDescent="0.25">
      <c r="A29" s="19" t="s">
        <v>73</v>
      </c>
      <c r="B29" s="12">
        <f>B28/B26-1</f>
        <v>0.6322360117281394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0.050564</v>
      </c>
      <c r="B5" s="31">
        <v>176.18081535277037</v>
      </c>
      <c r="C5" s="31">
        <v>186.94339572692826</v>
      </c>
      <c r="D5" s="31">
        <v>201.78424960555648</v>
      </c>
      <c r="E5" s="31">
        <v>223.67819232453593</v>
      </c>
      <c r="F5" s="31">
        <v>259.42272662129085</v>
      </c>
    </row>
    <row r="6" spans="1:6" x14ac:dyDescent="0.25">
      <c r="A6" s="30">
        <v>0.060564</v>
      </c>
      <c r="B6" s="31">
        <v>142.94155658451032</v>
      </c>
      <c r="C6" s="31">
        <v>147.34344707586888</v>
      </c>
      <c r="D6" s="31">
        <v>152.89230317258756</v>
      </c>
      <c r="E6" s="31">
        <v>160.15102515213016</v>
      </c>
      <c r="F6" s="31">
        <v>170.12289842532275</v>
      </c>
    </row>
    <row r="7" spans="1:6" x14ac:dyDescent="0.25">
      <c r="A7" s="30">
        <v>0.070564</v>
      </c>
      <c r="B7" s="31">
        <v>121.68762990533145</v>
      </c>
      <c r="C7" s="31">
        <v>123.4145792224877</v>
      </c>
      <c r="D7" s="32">
        <v>125.45262429193075</v>
      </c>
      <c r="E7" s="31">
        <v>127.91680397285356</v>
      </c>
      <c r="F7" s="31">
        <v>130.98685111792162</v>
      </c>
    </row>
    <row r="8" spans="1:6" x14ac:dyDescent="0.25">
      <c r="A8" s="30">
        <v>0.080564</v>
      </c>
      <c r="B8" s="31">
        <v>106.9340401029063</v>
      </c>
      <c r="C8" s="31">
        <v>107.39400259021947</v>
      </c>
      <c r="D8" s="31">
        <v>107.88333133965313</v>
      </c>
      <c r="E8" s="31">
        <v>108.41073796286399</v>
      </c>
      <c r="F8" s="31">
        <v>108.98875797268357</v>
      </c>
    </row>
    <row r="9" spans="1:6" x14ac:dyDescent="0.25">
      <c r="A9" s="30">
        <v>0.090564</v>
      </c>
      <c r="B9" s="31">
        <v>97.11033361407732</v>
      </c>
      <c r="C9" s="31">
        <v>97.36998514656531</v>
      </c>
      <c r="D9" s="31">
        <v>97.62963667905326</v>
      </c>
      <c r="E9" s="31">
        <v>97.88928821154127</v>
      </c>
      <c r="F9" s="31">
        <v>98.14893974402924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22895000000</v>
      </c>
      <c r="C5" s="18">
        <v>22217000000</v>
      </c>
      <c r="D5" s="18">
        <v>20134000000</v>
      </c>
      <c r="E5" s="18">
        <v>16494000000</v>
      </c>
      <c r="F5" s="8" t="s">
        <v>84</v>
      </c>
    </row>
    <row r="6" spans="1:6" x14ac:dyDescent="0.25">
      <c r="A6" t="s">
        <v>44</v>
      </c>
      <c r="B6" s="18">
        <v>12999000000</v>
      </c>
      <c r="C6" s="18">
        <v>12884000000</v>
      </c>
      <c r="D6" s="18">
        <v>11486000000</v>
      </c>
      <c r="E6" s="18">
        <v>9382000000</v>
      </c>
      <c r="F6" s="8" t="s">
        <v>85</v>
      </c>
    </row>
    <row r="7" spans="1:6" x14ac:dyDescent="0.25">
      <c r="A7" t="s">
        <v>86</v>
      </c>
      <c r="B7" s="18">
        <v>847000000</v>
      </c>
      <c r="C7" s="18">
        <v>829000000</v>
      </c>
      <c r="D7" s="18">
        <v>746000000</v>
      </c>
      <c r="E7" s="18">
        <v>701000000</v>
      </c>
      <c r="F7" s="8" t="s">
        <v>87</v>
      </c>
    </row>
    <row r="8" spans="1:6" x14ac:dyDescent="0.25">
      <c r="A8" t="s">
        <v>88</v>
      </c>
      <c r="B8" s="18">
        <v>525000000</v>
      </c>
      <c r="C8" s="18">
        <v>916000000</v>
      </c>
      <c r="D8" s="18">
        <v>718000000</v>
      </c>
      <c r="E8" s="18">
        <v>669000000</v>
      </c>
      <c r="F8" s="8" t="s">
        <v>89</v>
      </c>
    </row>
    <row r="9" spans="1:6" x14ac:dyDescent="0.25">
      <c r="A9" t="s">
        <v>90</v>
      </c>
      <c r="B9" s="18">
        <v>1896000000</v>
      </c>
      <c r="C9" s="18">
        <v>-2699000000</v>
      </c>
      <c r="D9" s="18">
        <v>5943000000</v>
      </c>
      <c r="E9" s="18">
        <v>6486000000</v>
      </c>
      <c r="F9" s="8" t="s">
        <v>91</v>
      </c>
    </row>
    <row r="10" spans="1:6" x14ac:dyDescent="0.25">
      <c r="A10" t="s">
        <v>92</v>
      </c>
      <c r="B10" s="18">
        <v>75004000000</v>
      </c>
      <c r="C10" s="18">
        <v>64902000000</v>
      </c>
      <c r="D10" s="18">
        <v>44829000000</v>
      </c>
      <c r="E10" s="18">
        <v>47079000000</v>
      </c>
      <c r="F10" s="8" t="s">
        <v>93</v>
      </c>
    </row>
    <row r="11" spans="1:6" x14ac:dyDescent="0.25">
      <c r="A11" t="s">
        <v>94</v>
      </c>
      <c r="B11" s="18">
        <v>150352000000</v>
      </c>
      <c r="C11" s="18">
        <v>140166000000</v>
      </c>
      <c r="D11" s="18">
        <v>118877000000</v>
      </c>
      <c r="E11" s="18">
        <v>115012000000</v>
      </c>
      <c r="F11" s="8" t="s">
        <v>95</v>
      </c>
    </row>
    <row r="12" spans="1:6" x14ac:dyDescent="0.25">
      <c r="A12" t="s">
        <v>32</v>
      </c>
      <c r="B12" s="34">
        <v>2850000000</v>
      </c>
      <c r="C12" s="34">
        <v>2846000000</v>
      </c>
      <c r="D12" s="34">
        <v>2836000000</v>
      </c>
      <c r="E12" s="34">
        <v>2830116300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2026-09-19T00:08:37Z</dcterms:modified>
</cp:coreProperties>
</file>