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<sst xmlns="http://schemas.openxmlformats.org/spreadsheetml/2006/main" count="120" uniqueCount="107">
  <si>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Delta Air Lines, Inc. (DAL)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</si>
  <si>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</si>
  <si>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</si>
  <si>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</si>
  <si>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</si>
  <si>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</si>
  <si>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</si>
  <si>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</si>
  <si>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</si>
  <si>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</si>
  <si>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</si>
  <si>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</si>
  <si>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</si>
  <si>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</si>
  <si>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</si>
  <si>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</si>
  <si>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</si>
  <si>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</si>
  <si>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</si>
  <si>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</si>
  <si>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</si>
  <si>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</si>
  <si>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</si>
  <si>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</si>
  <si>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8.6x interest cover. Book interest / average debt was lower, at 3.2%.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</si>
  <si>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</si>
  <si>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</si>
  <si>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</si>
  <si>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</si>
  <si>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</si>
  <si>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</si>
  <si>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</si>
  <si>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</si>
  <si>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</si>
  <si>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</si>
  <si>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</si>
  <si>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</si>
  <si>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</si>
  <si>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</si>
  <si>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</si>
  <si>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</si>
  <si>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</si>
  <si>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</si>
  <si>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</si>
  <si>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</si>
  <si>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</si>
  <si>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</si>
  <si>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</si>
  <si>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</si>
  <si>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</si>
  <si>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</si>
  <si>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</si>
  <si>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</si>
  <si>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</si>
  <si>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</si>
  <si>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</si>
  <si>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</si>
  <si>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</si>
  <si>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</si>
  <si>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</si>
  <si>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</si>
  <si>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</si>
  <si>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</si>
  <si>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</si>
  <si>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</si>
  <si>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</si>
  <si>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</si>
  <si>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</si>
  <si>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</si>
  <si>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</si>
  <si>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</si>
  <si>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</si>
  <si>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</si>
  <si>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</si>
  <si>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</si>
  <si>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</si>
  <si>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</si>
  <si>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</si>
  <si>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</si>
  <si>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</si>
  <si>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</si>
  <si>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</si>
  <si>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</si>
  <si>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</si>
  <si>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</si>
  <si>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</si>
  <si>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</si>
  <si>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</si>
  <si>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</si>
  <si>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</si>
  <si>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</si>
  <si>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</si>
  <si>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</si>
  <si>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</si>
  <si>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</si>
  <si>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</si>
  <si>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</si>
  <si>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</si>
  <si>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</si>
  <si>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</si>
  <si>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</si>
  <si>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</si>
  <si>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</si>
  <si>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</si>
  <si>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</si>
  <si>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9.3% of revenue against depreciation of 4.0%.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</si>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</sst>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0.1846836908970393</v>
      </c>
    </row>
    <row r="7" spans="1:2" x14ac:dyDescent="0.25">
      <c r="A7" t="s">
        <v>4</v>
      </c>
      <c r="B7" s="5">
        <v>0.08915595861511104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0.04032646006561191</v>
      </c>
    </row>
    <row r="10" spans="1:3" x14ac:dyDescent="0.25">
      <c r="A10" t="s">
        <v>7</v>
      </c>
      <c r="B10" s="5">
        <v>0.09298520854557223</v>
      </c>
      <c r="C10" s="6" t="s">
        <v>8</v>
      </c>
    </row>
    <row r="11" spans="1:2" x14ac:dyDescent="0.25">
      <c r="A11" t="s">
        <v>9</v>
      </c>
      <c r="B11" s="5">
        <v>-0.0050190064114566425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8.311636868723532</v>
      </c>
    </row>
    <row r="14" spans="1:3" x14ac:dyDescent="0.25">
      <c r="A14" t="s">
        <v>12</v>
      </c>
      <c r="B14" s="5">
        <v>0.13576044846339144</v>
      </c>
      <c r="C14" s="6" t="s">
        <v>13</v>
      </c>
    </row>
    <row r="15" spans="1:3" x14ac:dyDescent="0.25">
      <c r="A15" t="s">
        <v>14</v>
      </c>
      <c r="B15" s="5">
        <v>0.04032646006561191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1.22512</v>
      </c>
      <c r="C19" s="6" t="s">
        <v>21</v>
      </c>
    </row>
    <row r="20" spans="1:2" x14ac:dyDescent="0.25">
      <c r="A20" t="s">
        <v>22</v>
      </c>
      <c r="B20" s="9">
        <f>B17+B19*B18</f>
        <v>0.10076257599999999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52731678720</v>
      </c>
    </row>
    <row r="23" spans="1:2" x14ac:dyDescent="0.25">
      <c r="A23" t="s">
        <v>26</v>
      </c>
      <c r="B23" s="10">
        <v>20274000000</v>
      </c>
    </row>
    <row r="24" spans="1:2" x14ac:dyDescent="0.25">
      <c r="A24" t="s">
        <v>27</v>
      </c>
      <c r="B24" s="9">
        <f>B22/(B22+B23)</f>
        <v>0.7222955754201363</v>
      </c>
    </row>
    <row r="25" spans="1:2" x14ac:dyDescent="0.25">
      <c r="A25" t="s">
        <v>28</v>
      </c>
      <c r="B25" s="9">
        <f>1-B24</f>
        <v>0.27770442457986366</v>
      </c>
    </row>
    <row r="26" spans="1:2" x14ac:dyDescent="0.25">
      <c r="A26" t="s">
        <v>29</v>
      </c>
      <c r="B26" s="11">
        <f>B24*B20+B25*B21*(1-B8)</f>
        <v>0.08439468388016902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63364000000</v>
      </c>
      <c r="C29" s="6" t="s">
        <v>32</v>
      </c>
    </row>
    <row r="30" spans="1:2" x14ac:dyDescent="0.25">
      <c r="A30" t="s">
        <v>33</v>
      </c>
      <c r="B30" s="10">
        <v>15964000000</v>
      </c>
    </row>
    <row r="31" spans="1:2" x14ac:dyDescent="0.25">
      <c r="A31" t="s">
        <v>34</v>
      </c>
      <c r="B31" s="12">
        <v>653997384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0.1846836908970393</v>
      </c>
      <c r="C5" s="5">
        <v>0.02971896959842857</v>
      </c>
      <c r="D5" s="5">
        <v>0.029129098398624997</v>
      </c>
      <c r="E5" s="5">
        <v>0.028539227198821425</v>
      </c>
      <c r="F5" s="5">
        <v>0.027949355999017857</v>
      </c>
      <c r="G5" s="5">
        <v>0.027359484799214285</v>
      </c>
      <c r="H5" s="5">
        <v>0.026769613599410713</v>
      </c>
      <c r="I5" s="5">
        <v>0.026179742399607145</v>
      </c>
      <c r="J5" s="5">
        <v>0.025589871199803573</v>
      </c>
      <c r="K5" s="5">
        <v>0.025</v>
      </c>
    </row>
    <row r="6" spans="1:11" x14ac:dyDescent="0.25">
      <c r="A6" t="s">
        <v>50</v>
      </c>
      <c r="B6" s="18">
        <f>Assumptions!B29*(1+B5)</f>
        <v>75066297390</v>
      </c>
      <c r="C6" s="18">
        <f>B6*(1+C5)</f>
        <v>77297190400.00002</v>
      </c>
      <c r="D6" s="18">
        <f>C6*(1+D5)</f>
        <v>79548787865.09886</v>
      </c>
      <c r="E6" s="18">
        <f>D6*(1+E5)</f>
        <v>81819048795.37177</v>
      </c>
      <c r="F6" s="18">
        <f>E6*(1+F5)</f>
        <v>84105838517.65462</v>
      </c>
      <c r="G6" s="18">
        <f>F6*(1+G5)</f>
        <v>86406930928.10356</v>
      </c>
      <c r="H6" s="18">
        <f>G6*(1+H5)</f>
        <v>88720011081.35986</v>
      </c>
      <c r="I6" s="18">
        <f>H6*(1+I5)</f>
        <v>91042678117.16016</v>
      </c>
      <c r="J6" s="18">
        <f>I6*(1+J5)</f>
        <v>93372448523.86345</v>
      </c>
      <c r="K6" s="18">
        <f>J6*(1+K5)</f>
        <v>95706759736.96002</v>
      </c>
    </row>
    <row r="7" spans="1:11" x14ac:dyDescent="0.25">
      <c r="A7" t="s">
        <v>4</v>
      </c>
      <c r="B7" s="9">
        <f>Assumptions!B7</f>
        <v>0.08915595861511104</v>
      </c>
      <c r="C7" s="9">
        <f>Assumptions!B7</f>
        <v>0.08915595861511104</v>
      </c>
      <c r="D7" s="9">
        <f>Assumptions!B7</f>
        <v>0.08915595861511104</v>
      </c>
      <c r="E7" s="9">
        <f>Assumptions!B7</f>
        <v>0.08915595861511104</v>
      </c>
      <c r="F7" s="9">
        <f>Assumptions!B7</f>
        <v>0.08915595861511104</v>
      </c>
      <c r="G7" s="9">
        <f>Assumptions!B7</f>
        <v>0.08915595861511104</v>
      </c>
      <c r="H7" s="9">
        <f>Assumptions!B7</f>
        <v>0.08915595861511104</v>
      </c>
      <c r="I7" s="9">
        <f>Assumptions!B7</f>
        <v>0.08915595861511104</v>
      </c>
      <c r="J7" s="9">
        <f>Assumptions!B7</f>
        <v>0.08915595861511104</v>
      </c>
      <c r="K7" s="9">
        <f>Assumptions!B7</f>
        <v>0.08915595861511104</v>
      </c>
    </row>
    <row r="8" spans="1:11" x14ac:dyDescent="0.25">
      <c r="A8" t="s">
        <v>51</v>
      </c>
      <c r="B8" s="18">
        <f>B6*B7</f>
        <v>6692607703.492457</v>
      </c>
      <c r="C8" s="18">
        <f>C6*C7</f>
        <v>6891505108.366759</v>
      </c>
      <c r="D8" s="18">
        <f>D6*D7</f>
        <v>7092248438.783001</v>
      </c>
      <c r="E8" s="18">
        <f>E6*E7</f>
        <v>7294655728.327916</v>
      </c>
      <c r="F8" s="18">
        <f>F6*F7</f>
        <v>7498536658.169227</v>
      </c>
      <c r="G8" s="18">
        <f>G6*G7</f>
        <v>7703692757.884759</v>
      </c>
      <c r="H8" s="18">
        <f>H6*H7</f>
        <v>7909917636.301912</v>
      </c>
      <c r="I8" s="18">
        <f>I6*I7</f>
        <v>8116997242.422406</v>
      </c>
      <c r="J8" s="18">
        <f>J6*J7</f>
        <v>8324710156.385156</v>
      </c>
      <c r="K8" s="18">
        <f>K6*K7</f>
        <v>8532827910.294784</v>
      </c>
    </row>
    <row r="9" spans="1:11" x14ac:dyDescent="0.25">
      <c r="A9" t="s">
        <v>52</v>
      </c>
      <c r="B9" s="18">
        <f>B8*(1-Assumptions!B8)</f>
        <v>5287160085.759042</v>
      </c>
      <c r="C9" s="18">
        <f>C8*(1-Assumptions!B8)</f>
        <v>5444289035.60974</v>
      </c>
      <c r="D9" s="18">
        <f>D8*(1-Assumptions!B8)</f>
        <v>5602876266.638571</v>
      </c>
      <c r="E9" s="18">
        <f>E8*(1-Assumptions!B8)</f>
        <v>5762778025.379054</v>
      </c>
      <c r="F9" s="18">
        <f>F8*(1-Assumptions!B8)</f>
        <v>5923843959.95369</v>
      </c>
      <c r="G9" s="18">
        <f>G8*(1-Assumptions!B8)</f>
        <v>6085917278.72896</v>
      </c>
      <c r="H9" s="18">
        <f>H8*(1-Assumptions!B8)</f>
        <v>6248834932.678511</v>
      </c>
      <c r="I9" s="18">
        <f>I8*(1-Assumptions!B8)</f>
        <v>6412427821.513701</v>
      </c>
      <c r="J9" s="18">
        <f>J8*(1-Assumptions!B8)</f>
        <v>6576521023.544273</v>
      </c>
      <c r="K9" s="18">
        <f>K8*(1-Assumptions!B8)</f>
        <v>6740934049.132879</v>
      </c>
    </row>
    <row r="10" spans="1:11" x14ac:dyDescent="0.25">
      <c r="A10" t="s">
        <v>53</v>
      </c>
      <c r="B10" s="18">
        <f>B6*Assumptions!B9</f>
        <v>3027158043.971183</v>
      </c>
      <c r="C10" s="18">
        <f>C6*Assumptions!B9</f>
        <v>3117122061.8496013</v>
      </c>
      <c r="D10" s="18">
        <f>D6*Assumptions!B9</f>
        <v>3207921017.1097426</v>
      </c>
      <c r="E10" s="18">
        <f>E6*Assumptions!B9</f>
        <v>3299472603.852912</v>
      </c>
      <c r="F10" s="18">
        <f>F6*Assumptions!B9</f>
        <v>3391690738.267003</v>
      </c>
      <c r="G10" s="18">
        <f>G6*Assumptions!B9</f>
        <v>3484485649.4642553</v>
      </c>
      <c r="H10" s="18">
        <f>H6*Assumptions!B9</f>
        <v>3577763983.893105</v>
      </c>
      <c r="I10" s="18">
        <f>I6*Assumptions!B9</f>
        <v>3671428923.358019</v>
      </c>
      <c r="J10" s="18">
        <f>J6*Assumptions!B9</f>
        <v>3765380316.625983</v>
      </c>
      <c r="K10" s="18">
        <f>K6*Assumptions!B9</f>
        <v>3859514824.5416327</v>
      </c>
    </row>
    <row r="11" spans="1:11" x14ac:dyDescent="0.25">
      <c r="A11" t="s">
        <v>54</v>
      </c>
      <c r="B11" s="18">
        <f>-B6*B19</f>
        <v>-6980055317.553094</v>
      </c>
      <c r="C11" s="18">
        <f>-C6*C19</f>
        <v>-6846626594.415659</v>
      </c>
      <c r="D11" s="18">
        <f>-D6*D19</f>
        <v>-6695264679.182369</v>
      </c>
      <c r="E11" s="18">
        <f>-E6*E19</f>
        <v>-6525532880.907701</v>
      </c>
      <c r="F11" s="18">
        <f>-F6*F19</f>
        <v>-6337023451.817869</v>
      </c>
      <c r="G11" s="18">
        <f>-G6*G19</f>
        <v>-6129359812.742039</v>
      </c>
      <c r="H11" s="18">
        <f>-H6*H19</f>
        <v>-5902198741.335935</v>
      </c>
      <c r="I11" s="18">
        <f>-I6*I19</f>
        <v>-5655232512.759371</v>
      </c>
      <c r="J11" s="18">
        <f>-J6*J19</f>
        <v>-5388190982.360635</v>
      </c>
      <c r="K11" s="18">
        <f>-K6*K19</f>
        <v>-5100843599.86433</v>
      </c>
    </row>
    <row r="12" spans="1:11" x14ac:dyDescent="0.25">
      <c r="A12" t="s">
        <v>55</v>
      </c>
      <c r="B12" s="18">
        <f>-(B6-Assumptions!B29)*Assumptions!B11</f>
        <v>58733905.62918233</v>
      </c>
      <c r="C12" s="18">
        <f>-(C6-B6)*Assumptions!B11</f>
        <v>11196866.320463885</v>
      </c>
      <c r="D12" s="18">
        <f>-(D6-C6)*Assumptions!B11</f>
        <v>11300782.113350634</v>
      </c>
      <c r="E12" s="18">
        <f>-(E6-D6)*Assumptions!B11</f>
        <v>11394454.164719224</v>
      </c>
      <c r="F12" s="18">
        <f>-(F6-E6)*Assumptions!B11</f>
        <v>11477412.27779079</v>
      </c>
      <c r="G12" s="18">
        <f>-(G6-F6)*Assumptions!B11</f>
        <v>11549197.56139747</v>
      </c>
      <c r="H12" s="18">
        <f>-(H6-G6)*Assumptions!B11</f>
        <v>11609364.119406492</v>
      </c>
      <c r="I12" s="18">
        <f>-(I6-H6)*Assumptions!B11</f>
        <v>11657480.744360665</v>
      </c>
      <c r="J12" s="18">
        <f>-(J6-I6)*Assumptions!B11</f>
        <v>11693132.608465776</v>
      </c>
      <c r="K12" s="18">
        <f>-(K6-J6)*Assumptions!B11</f>
        <v>11715922.944866832</v>
      </c>
    </row>
    <row r="13" spans="1:11" x14ac:dyDescent="0.25">
      <c r="A13" s="19" t="s">
        <v>56</v>
      </c>
      <c r="B13" s="20">
        <f>B9+B10+B11+B12</f>
        <v>1392996717.806313</v>
      </c>
      <c r="C13" s="20">
        <f>C9+C10+C11+C12</f>
        <v>1725981369.364146</v>
      </c>
      <c r="D13" s="20">
        <f>D9+D10+D11+D12</f>
        <v>2126833386.6792953</v>
      </c>
      <c r="E13" s="20">
        <f>E9+E10+E11+E12</f>
        <v>2548112202.4889846</v>
      </c>
      <c r="F13" s="20">
        <f>F9+F10+F11+F12</f>
        <v>2989988658.6806135</v>
      </c>
      <c r="G13" s="20">
        <f>G9+G10+G11+G12</f>
        <v>3452592313.0125732</v>
      </c>
      <c r="H13" s="20">
        <f>H9+H10+H11+H12</f>
        <v>3936009539.3550873</v>
      </c>
      <c r="I13" s="20">
        <f>I9+I10+I11+I12</f>
        <v>4440281712.8567095</v>
      </c>
      <c r="J13" s="20">
        <f>J9+J10+J11+J12</f>
        <v>4965403490.418089</v>
      </c>
      <c r="K13" s="20">
        <f>K9+K10+K11+K12</f>
        <v>5511321196.755048</v>
      </c>
    </row>
    <row r="14" spans="1:11" x14ac:dyDescent="0.25">
      <c r="A14" t="s">
        <v>57</v>
      </c>
      <c r="B14" s="21">
        <f>1/(1+Assumptions!$B$26)^(1-0.5*Assumptions!$B$32)</f>
        <v>0.9602986317687324</v>
      </c>
      <c r="C14" s="21">
        <f>1/(1+Assumptions!$B$26)^(2-0.5*Assumptions!$B$32)</f>
        <v>0.8855619139819115</v>
      </c>
      <c r="D14" s="21">
        <f>1/(1+Assumptions!$B$26)^(3-0.5*Assumptions!$B$32)</f>
        <v>0.8166416961887011</v>
      </c>
      <c r="E14" s="21">
        <f>1/(1+Assumptions!$B$26)^(4-0.5*Assumptions!$B$32)</f>
        <v>0.7530853003323502</v>
      </c>
      <c r="F14" s="21">
        <f>1/(1+Assumptions!$B$26)^(5-0.5*Assumptions!$B$32)</f>
        <v>0.6944752787220136</v>
      </c>
      <c r="G14" s="21">
        <f>1/(1+Assumptions!$B$26)^(6-0.5*Assumptions!$B$32)</f>
        <v>0.6404266721753467</v>
      </c>
      <c r="H14" s="21">
        <f>1/(1+Assumptions!$B$26)^(7-0.5*Assumptions!$B$32)</f>
        <v>0.5905844815503697</v>
      </c>
      <c r="I14" s="21">
        <f>1/(1+Assumptions!$B$26)^(8-0.5*Assumptions!$B$32)</f>
        <v>0.5446213360592537</v>
      </c>
      <c r="J14" s="21">
        <f>1/(1+Assumptions!$B$26)^(9-0.5*Assumptions!$B$32)</f>
        <v>0.5022353430491706</v>
      </c>
      <c r="K14" s="21">
        <f>1/(1+Assumptions!$B$26)^(10-0.5*Assumptions!$B$32)</f>
        <v>0.4631481051272565</v>
      </c>
    </row>
    <row r="15" spans="1:11" x14ac:dyDescent="0.25">
      <c r="A15" s="19" t="s">
        <v>58</v>
      </c>
      <c r="B15" s="20">
        <f>B13*B14</f>
        <v>1337692842.1677375</v>
      </c>
      <c r="C15" s="20">
        <f>C13*C14</f>
        <v>1528463364.9512336</v>
      </c>
      <c r="D15" s="20">
        <f>D13*D14</f>
        <v>1736860824.4085393</v>
      </c>
      <c r="E15" s="20">
        <f>E13*E14</f>
        <v>1918945843.2919433</v>
      </c>
      <c r="F15" s="20">
        <f>F13*F14</f>
        <v>2076473207.1128788</v>
      </c>
      <c r="G15" s="20">
        <f>G13*G14</f>
        <v>2211132205.400825</v>
      </c>
      <c r="H15" s="20">
        <f>H13*H14</f>
        <v>2324546153.177334</v>
      </c>
      <c r="I15" s="20">
        <f>I13*I14</f>
        <v>2418272158.9354925</v>
      </c>
      <c r="J15" s="20">
        <f>J13*J14</f>
        <v>2493801125.387678</v>
      </c>
      <c r="K15" s="20">
        <f>K13*K14</f>
        <v>2552557969.024784</v>
      </c>
    </row>
    <row r="17" spans="1:2" x14ac:dyDescent="0.25">
      <c r="A17" s="22" t="s">
        <v>59</v>
      </c>
      <c r="B17" s="23">
        <f>SUM(B15:K15)</f>
        <v>20598745693.858448</v>
      </c>
    </row>
    <row r="19" spans="1:11" x14ac:dyDescent="0.25">
      <c r="A19" t="s">
        <v>7</v>
      </c>
      <c r="B19" s="9">
        <f>Assumptions!$B$10+($B$20-Assumptions!$B$10)*0/9</f>
        <v>0.09298520854557223</v>
      </c>
      <c r="C19" s="9">
        <f>Assumptions!$B$10+($B$20-Assumptions!$B$10)*1/9</f>
        <v>0.08857536165267474</v>
      </c>
      <c r="D19" s="9">
        <f>Assumptions!$B$10+($B$20-Assumptions!$B$10)*2/9</f>
        <v>0.08416551475977727</v>
      </c>
      <c r="E19" s="9">
        <f>Assumptions!$B$10+($B$20-Assumptions!$B$10)*3/9</f>
        <v>0.07975566786687978</v>
      </c>
      <c r="F19" s="9">
        <f>Assumptions!$B$10+($B$20-Assumptions!$B$10)*4/9</f>
        <v>0.07534582097398229</v>
      </c>
      <c r="G19" s="9">
        <f>Assumptions!$B$10+($B$20-Assumptions!$B$10)*5/9</f>
        <v>0.0709359740810848</v>
      </c>
      <c r="H19" s="9">
        <f>Assumptions!$B$10+($B$20-Assumptions!$B$10)*6/9</f>
        <v>0.06652612718818732</v>
      </c>
      <c r="I19" s="9">
        <f>Assumptions!$B$10+($B$20-Assumptions!$B$10)*7/9</f>
        <v>0.06211628029528984</v>
      </c>
      <c r="J19" s="9">
        <f>Assumptions!$B$10+($B$20-Assumptions!$B$10)*8/9</f>
        <v>0.05770643340239236</v>
      </c>
      <c r="K19" s="9">
        <f>Assumptions!$B$10+($B$20-Assumptions!$B$10)*9/9</f>
        <v>0.05329658650949487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0.05329658650949487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5511321196.755048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6740934049.132879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0.18414788904252472</v>
      </c>
    </row>
    <row r="7" spans="1:2" x14ac:dyDescent="0.25">
      <c r="A7" t="s">
        <v>66</v>
      </c>
      <c r="B7" s="18">
        <f>-MAX(B5,0)*B6</f>
        <v>-1241328775.3226984</v>
      </c>
    </row>
    <row r="8" spans="1:2" x14ac:dyDescent="0.25">
      <c r="A8" t="s">
        <v>67</v>
      </c>
      <c r="B8" s="18">
        <f>IF(OR(Assumptions!$B$33=0,Assumptions!B12&lt;=0),B5,MAX(B5+B7,0))</f>
        <v>5499605273.810181</v>
      </c>
    </row>
    <row r="9" spans="1:2" x14ac:dyDescent="0.25">
      <c r="A9" t="s">
        <v>68</v>
      </c>
      <c r="B9" s="18">
        <f>B8*(1+Assumptions!B12)/(Assumptions!B26-Assumptions!B12)</f>
        <v>94909090130.49861</v>
      </c>
    </row>
    <row r="10" spans="1:2" x14ac:dyDescent="0.25">
      <c r="A10" t="s">
        <v>69</v>
      </c>
      <c r="B10" s="18">
        <f>B9/(1+Assumptions!B26)^(10-0.5*Assumptions!B32)</f>
        <v>43956965253.292435</v>
      </c>
    </row>
    <row r="11" spans="1:2" x14ac:dyDescent="0.25">
      <c r="A11" t="s">
        <v>70</v>
      </c>
      <c r="B11" s="18">
        <f>Forecast!B17+B10</f>
        <v>64555710947.15088</v>
      </c>
    </row>
    <row r="12" spans="1:2" x14ac:dyDescent="0.25">
      <c r="A12" t="s">
        <v>71</v>
      </c>
      <c r="B12" s="18">
        <f>-Assumptions!B30</f>
        <v>-15964000000</v>
      </c>
    </row>
    <row r="13" spans="1:2" x14ac:dyDescent="0.25">
      <c r="A13" t="s">
        <v>72</v>
      </c>
      <c r="B13" s="18">
        <f>B11+B12</f>
        <v>48591710947.15088</v>
      </c>
    </row>
    <row r="14" spans="1:2" x14ac:dyDescent="0.25">
      <c r="A14" s="19" t="s">
        <v>73</v>
      </c>
      <c r="B14" s="24">
        <f>B13/Assumptions!B31</f>
        <v>74.29954941096658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12392342734.836416</v>
      </c>
    </row>
    <row r="18" spans="1:2" x14ac:dyDescent="0.25">
      <c r="A18" t="s">
        <v>68</v>
      </c>
      <c r="B18" s="18">
        <f>B17*Assumptions!B13</f>
        <v>103000652764.72456</v>
      </c>
    </row>
    <row r="19" spans="1:2" x14ac:dyDescent="0.25">
      <c r="A19" t="s">
        <v>69</v>
      </c>
      <c r="B19" s="18">
        <f>B18/(1+Assumptions!B26)^(10-0.5*Assumptions!B32)</f>
        <v>47704557154.8527</v>
      </c>
    </row>
    <row r="20" spans="1:2" x14ac:dyDescent="0.25">
      <c r="A20" t="s">
        <v>70</v>
      </c>
      <c r="B20" s="18">
        <f>Forecast!B17+B19</f>
        <v>68303302848.71115</v>
      </c>
    </row>
    <row r="21" spans="1:2" x14ac:dyDescent="0.25">
      <c r="A21" t="s">
        <v>71</v>
      </c>
      <c r="B21" s="18">
        <f>-Assumptions!B30</f>
        <v>-15964000000</v>
      </c>
    </row>
    <row r="22" spans="1:2" x14ac:dyDescent="0.25">
      <c r="A22" t="s">
        <v>72</v>
      </c>
      <c r="B22" s="18">
        <f>B20+B21</f>
        <v>52339302848.71115</v>
      </c>
    </row>
    <row r="23" spans="1:2" x14ac:dyDescent="0.25">
      <c r="A23" s="19" t="s">
        <v>73</v>
      </c>
      <c r="B23" s="25">
        <f>B22/Assumptions!B31</f>
        <v>80.02983517853208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80.15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74.29954941096658</v>
      </c>
    </row>
    <row r="29" spans="1:2" x14ac:dyDescent="0.25">
      <c r="A29" s="19" t="s">
        <v>81</v>
      </c>
      <c r="B29" s="11">
        <f>B28/B26-1</f>
        <v>-0.07299376904595667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0.064395</v>
      </c>
      <c r="B5" s="31">
        <v>117.01578779326672</v>
      </c>
      <c r="C5" s="31">
        <v>123.33322083673376</v>
      </c>
      <c r="D5" s="31">
        <v>131.49565499380586</v>
      </c>
      <c r="E5" s="31">
        <v>142.30771351507403</v>
      </c>
      <c r="F5" s="31">
        <v>157.12147551137144</v>
      </c>
    </row>
    <row r="6" spans="1:6" x14ac:dyDescent="0.25">
      <c r="A6" s="30">
        <v>0.074395</v>
      </c>
      <c r="B6" s="31">
        <v>90.18169584167148</v>
      </c>
      <c r="C6" s="31">
        <v>93.20066230124326</v>
      </c>
      <c r="D6" s="31">
        <v>97.01282207452562</v>
      </c>
      <c r="E6" s="31">
        <v>101.88617605589093</v>
      </c>
      <c r="F6" s="31">
        <v>108.22478346913009</v>
      </c>
    </row>
    <row r="7" spans="1:6" x14ac:dyDescent="0.25">
      <c r="A7" s="30">
        <v>0.084395</v>
      </c>
      <c r="B7" s="31">
        <v>71.24832988442314</v>
      </c>
      <c r="C7" s="31">
        <v>72.58915861020421</v>
      </c>
      <c r="D7" s="32">
        <v>74.2989546312488</v>
      </c>
      <c r="E7" s="31">
        <v>76.47946460495115</v>
      </c>
      <c r="F7" s="31">
        <v>79.27363233715924</v>
      </c>
    </row>
    <row r="8" spans="1:6" x14ac:dyDescent="0.25">
      <c r="A8" s="30">
        <v>0.094395</v>
      </c>
      <c r="B8" s="31">
        <v>57.21930609011249</v>
      </c>
      <c r="C8" s="31">
        <v>57.648708280553514</v>
      </c>
      <c r="D8" s="31">
        <v>58.25607506638073</v>
      </c>
      <c r="E8" s="31">
        <v>59.082861047031884</v>
      </c>
      <c r="F8" s="31">
        <v>60.184479774529166</v>
      </c>
    </row>
    <row r="9" spans="1:6" x14ac:dyDescent="0.25">
      <c r="A9" s="30">
        <v>0.104395</v>
      </c>
      <c r="B9" s="31">
        <v>46.43983090359379</v>
      </c>
      <c r="C9" s="31">
        <v>46.35487441265952</v>
      </c>
      <c r="D9" s="31">
        <v>46.35538749578489</v>
      </c>
      <c r="E9" s="31">
        <v>46.45860308006038</v>
      </c>
      <c r="F9" s="31">
        <v>46.68672071181136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63364000000</v>
      </c>
      <c r="C5" s="18">
        <v>61643000000</v>
      </c>
      <c r="D5" s="18">
        <v>58048000000</v>
      </c>
      <c r="E5" s="18">
        <v>50582000000</v>
      </c>
      <c r="F5" s="6" t="s">
        <v>91</v>
      </c>
    </row>
    <row r="6" spans="1:6" x14ac:dyDescent="0.25">
      <c r="A6" t="s">
        <v>51</v>
      </c>
      <c r="B6" s="18">
        <v>5822000000</v>
      </c>
      <c r="C6" s="18">
        <v>5995000000</v>
      </c>
      <c r="D6" s="18">
        <v>5521000000</v>
      </c>
      <c r="E6" s="18">
        <v>3661000000</v>
      </c>
      <c r="F6" s="6" t="s">
        <v>92</v>
      </c>
    </row>
    <row r="7" spans="1:6" x14ac:dyDescent="0.25">
      <c r="A7" t="s">
        <v>93</v>
      </c>
      <c r="B7" s="18">
        <v>2443000000</v>
      </c>
      <c r="C7" s="18">
        <v>2513000000</v>
      </c>
      <c r="D7" s="18">
        <v>2341000000</v>
      </c>
      <c r="E7" s="18">
        <v>2107000000</v>
      </c>
      <c r="F7" s="6" t="s">
        <v>94</v>
      </c>
    </row>
    <row r="8" spans="1:6" x14ac:dyDescent="0.25">
      <c r="A8" t="s">
        <v>95</v>
      </c>
      <c r="B8" s="18">
        <v>4499000000</v>
      </c>
      <c r="C8" s="18">
        <v>5140000000</v>
      </c>
      <c r="D8" s="18">
        <v>5323000000</v>
      </c>
      <c r="E8" s="18">
        <v>6366000000</v>
      </c>
      <c r="F8" s="6" t="s">
        <v>96</v>
      </c>
    </row>
    <row r="9" spans="1:6" x14ac:dyDescent="0.25">
      <c r="A9" t="s">
        <v>97</v>
      </c>
      <c r="B9" s="18">
        <v>-1536000000</v>
      </c>
      <c r="C9" s="18">
        <v>-710000000</v>
      </c>
      <c r="D9" s="18">
        <v>12000000</v>
      </c>
      <c r="E9" s="18">
        <v>-2153000000</v>
      </c>
      <c r="F9" s="6" t="s">
        <v>98</v>
      </c>
    </row>
    <row r="10" spans="1:6" x14ac:dyDescent="0.25">
      <c r="A10" t="s">
        <v>99</v>
      </c>
      <c r="B10" s="18">
        <v>20274000000</v>
      </c>
      <c r="C10" s="18">
        <v>22771000000</v>
      </c>
      <c r="D10" s="18">
        <v>27281000000</v>
      </c>
      <c r="E10" s="18">
        <v>30610000000</v>
      </c>
      <c r="F10" s="6" t="s">
        <v>100</v>
      </c>
    </row>
    <row r="11" spans="1:6" x14ac:dyDescent="0.25">
      <c r="A11" t="s">
        <v>101</v>
      </c>
      <c r="B11" s="18">
        <v>4310000000</v>
      </c>
      <c r="C11" s="18">
        <v>3069000000</v>
      </c>
      <c r="D11" s="18">
        <v>3868000000</v>
      </c>
      <c r="E11" s="18">
        <v>6534000000</v>
      </c>
      <c r="F11" s="6" t="s">
        <v>102</v>
      </c>
    </row>
    <row r="12" spans="1:6" x14ac:dyDescent="0.25">
      <c r="A12" t="s">
        <v>34</v>
      </c>
      <c r="B12" s="34">
        <v>653997384</v>
      </c>
      <c r="C12" s="34">
        <v>647997408</v>
      </c>
      <c r="D12" s="34">
        <v>642997428</v>
      </c>
      <c r="E12" s="34">
        <v>640997436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