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<sst xmlns="http://schemas.openxmlformats.org/spreadsheetml/2006/main" count="112" uniqueCount="100">
  <si>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Delta Air Lines, Inc. (DAL)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</si>
  <si>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</si>
  <si>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</si>
  <si>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</si>
  <si>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</si>
  <si>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</si>
  <si>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</si>
  <si>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</si>
  <si>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</si>
  <si>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</si>
  <si>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</si>
  <si>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</si>
  <si>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</si>
  <si>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</si>
  <si>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</si>
  <si>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</si>
  <si>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</si>
  <si>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</si>
  <si>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</si>
  <si>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</si>
  <si>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</si>
  <si>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</si>
  <si>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</si>
  <si>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</si>
  <si>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</si>
  <si>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</si>
  <si>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</si>
  <si>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</si>
  <si>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</si>
  <si>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</si>
  <si>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</si>
  <si>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</si>
  <si>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</si>
  <si>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</si>
  <si>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</si>
  <si>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</si>
  <si>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</si>
  <si>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</si>
  <si>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</si>
  <si>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</si>
  <si>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</si>
  <si>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</si>
  <si>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</si>
  <si>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</si>
  <si>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</si>
  <si>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</si>
  <si>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</si>
  <si>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</si>
  <si>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</si>
  <si>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</si>
  <si>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</si>
  <si>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</si>
  <si>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</si>
  <si>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</si>
  <si>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</si>
  <si>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</si>
  <si>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</si>
  <si>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</si>
  <si>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</si>
  <si>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</si>
  <si>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</si>
  <si>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</si>
  <si>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</si>
  <si>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</si>
  <si>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</si>
  <si>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</si>
  <si>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</si>
  <si>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</si>
  <si>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</si>
  <si>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</si>
  <si>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</si>
  <si>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</si>
  <si>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</si>
  <si>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</si>
  <si>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</si>
  <si>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</si>
  <si>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</si>
  <si>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</si>
  <si>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</si>
  <si>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</si>
  <si>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</si>
  <si>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</si>
  <si>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</si>
  <si>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</si>
  <si>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</si>
  <si>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</si>
  <si>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</si>
  <si>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</si>
  <si>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</si>
  <si>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</si>
  <si>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</si>
  <si>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</si>
  <si>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</si>
  <si>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</si>
  <si>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</si>
  <si>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</si>
  <si>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</si>
  <si>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</si>
  <si>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9.3% of revenue against depreciation of 4.0%.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</si>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</sst>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0.07799197884220499</v>
      </c>
    </row>
    <row r="7" spans="1:2" x14ac:dyDescent="0.25">
      <c r="A7" t="s">
        <v>5</v>
      </c>
      <c r="B7" s="6">
        <v>0.08915595861511104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0.04032646006561191</v>
      </c>
    </row>
    <row r="10" spans="1:2" x14ac:dyDescent="0.25">
      <c r="A10" t="s">
        <v>8</v>
      </c>
      <c r="B10" s="6">
        <v>0.09298520854557223</v>
      </c>
    </row>
    <row r="11" spans="1:2" x14ac:dyDescent="0.25">
      <c r="A11" t="s">
        <v>9</v>
      </c>
      <c r="B11" s="6">
        <v>-0.19749652294853964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8.266660162129462</v>
      </c>
    </row>
    <row r="14" spans="1:3" x14ac:dyDescent="0.25">
      <c r="A14" t="s">
        <v>12</v>
      </c>
      <c r="B14" s="6">
        <v>0.13576044846339144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1.19497</v>
      </c>
      <c r="C19" s="8" t="s">
        <v>19</v>
      </c>
    </row>
    <row r="20" spans="1:2" x14ac:dyDescent="0.25">
      <c r="A20" t="s">
        <v>20</v>
      </c>
      <c r="B20" s="10">
        <f>B17+B19*B18</f>
        <v>0.11570335000000001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52359946240</v>
      </c>
    </row>
    <row r="23" spans="1:2" x14ac:dyDescent="0.25">
      <c r="A23" t="s">
        <v>24</v>
      </c>
      <c r="B23" s="11">
        <v>20274000000</v>
      </c>
    </row>
    <row r="24" spans="1:2" x14ac:dyDescent="0.25">
      <c r="A24" t="s">
        <v>25</v>
      </c>
      <c r="B24" s="10">
        <f>B22/(B22+B23)</f>
        <v>0.7208743149792545</v>
      </c>
    </row>
    <row r="25" spans="1:2" x14ac:dyDescent="0.25">
      <c r="A25" t="s">
        <v>26</v>
      </c>
      <c r="B25" s="10">
        <f>1-B24</f>
        <v>0.27912568502074553</v>
      </c>
    </row>
    <row r="26" spans="1:2" x14ac:dyDescent="0.25">
      <c r="A26" t="s">
        <v>27</v>
      </c>
      <c r="B26" s="12">
        <f>B24*B20+B25*B21*(1-B8)</f>
        <v>0.09442862754455104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63364000000</v>
      </c>
      <c r="C29" s="8" t="s">
        <v>30</v>
      </c>
    </row>
    <row r="30" spans="1:2" x14ac:dyDescent="0.25">
      <c r="A30" t="s">
        <v>31</v>
      </c>
      <c r="B30" s="11">
        <v>15964000000</v>
      </c>
    </row>
    <row r="31" spans="1:2" x14ac:dyDescent="0.25">
      <c r="A31" t="s">
        <v>32</v>
      </c>
      <c r="B31" s="13">
        <v>653997384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0.07799197884220499</v>
      </c>
      <c r="C5" s="10">
        <f>Assumptions!B6</f>
        <v>0.07799197884220499</v>
      </c>
      <c r="D5" s="10">
        <f>Assumptions!B6</f>
        <v>0.07799197884220499</v>
      </c>
      <c r="E5" s="10">
        <f>Assumptions!B6</f>
        <v>0.07799197884220499</v>
      </c>
      <c r="F5" s="10">
        <f>Assumptions!B6</f>
        <v>0.07799197884220499</v>
      </c>
    </row>
    <row r="6" spans="1:6" x14ac:dyDescent="0.25">
      <c r="A6" t="s">
        <v>43</v>
      </c>
      <c r="B6" s="18">
        <f>Assumptions!B29*(1+B5)</f>
        <v>68305883747.357475</v>
      </c>
      <c r="C6" s="18">
        <f>B6*(1+C5)</f>
        <v>73633194787.37949</v>
      </c>
      <c r="D6" s="18">
        <f>C6*(1+D5)</f>
        <v>79375993357.32074</v>
      </c>
      <c r="E6" s="18">
        <f>D6*(1+E5)</f>
        <v>85566684151.8239</v>
      </c>
      <c r="F6" s="18">
        <f>E6*(1+F5)</f>
        <v>92240199171.79059</v>
      </c>
    </row>
    <row r="7" spans="1:6" x14ac:dyDescent="0.25">
      <c r="A7" t="s">
        <v>5</v>
      </c>
      <c r="B7" s="10">
        <f>Assumptions!B7</f>
        <v>0.08915595861511104</v>
      </c>
      <c r="C7" s="10">
        <f>Assumptions!B7</f>
        <v>0.08915595861511104</v>
      </c>
      <c r="D7" s="10">
        <f>Assumptions!B7</f>
        <v>0.08915595861511104</v>
      </c>
      <c r="E7" s="10">
        <f>Assumptions!B7</f>
        <v>0.08915595861511104</v>
      </c>
      <c r="F7" s="10">
        <f>Assumptions!B7</f>
        <v>0.08915595861511104</v>
      </c>
    </row>
    <row r="8" spans="1:6" x14ac:dyDescent="0.25">
      <c r="A8" t="s">
        <v>44</v>
      </c>
      <c r="B8" s="18">
        <f>B6*B7</f>
        <v>6089876544.547989</v>
      </c>
      <c r="C8" s="18">
        <f>C6*C7</f>
        <v>6564838067.162015</v>
      </c>
      <c r="D8" s="18">
        <f>D6*D7</f>
        <v>7076842778.798616</v>
      </c>
      <c r="E8" s="18">
        <f>E6*E7</f>
        <v>7628779751.072289</v>
      </c>
      <c r="F8" s="18">
        <f>F6*F7</f>
        <v>8223763380.009761</v>
      </c>
    </row>
    <row r="9" spans="1:6" x14ac:dyDescent="0.25">
      <c r="A9" t="s">
        <v>45</v>
      </c>
      <c r="B9" s="18">
        <f>B8*(1-Assumptions!B8)</f>
        <v>4811002470.192911</v>
      </c>
      <c r="C9" s="18">
        <f>C8*(1-Assumptions!B8)</f>
        <v>5186222073.057992</v>
      </c>
      <c r="D9" s="18">
        <f>D8*(1-Assumptions!B8)</f>
        <v>5590705795.250907</v>
      </c>
      <c r="E9" s="18">
        <f>E8*(1-Assumptions!B8)</f>
        <v>6026736003.347109</v>
      </c>
      <c r="F9" s="18">
        <f>F8*(1-Assumptions!B8)</f>
        <v>6496773070.207711</v>
      </c>
    </row>
    <row r="10" spans="1:6" x14ac:dyDescent="0.25">
      <c r="A10" t="s">
        <v>46</v>
      </c>
      <c r="B10" s="18">
        <f>B6*Assumptions!B9</f>
        <v>2754534493.184141</v>
      </c>
      <c r="C10" s="18">
        <f>C6*Assumptions!B9</f>
        <v>2969366089.096682</v>
      </c>
      <c r="D10" s="18">
        <f>D6*Assumptions!B9</f>
        <v>3200952826.292271</v>
      </c>
      <c r="E10" s="18">
        <f>E6*Assumptions!B9</f>
        <v>3450601471.3953543</v>
      </c>
      <c r="F10" s="18">
        <f>F6*Assumptions!B9</f>
        <v>3719720708.345302</v>
      </c>
    </row>
    <row r="11" spans="1:6" x14ac:dyDescent="0.25">
      <c r="A11" t="s">
        <v>47</v>
      </c>
      <c r="B11" s="18">
        <f>-B6*Assumptions!B10</f>
        <v>-6351436845.137648</v>
      </c>
      <c r="C11" s="18">
        <f>-C6*Assumptions!B10</f>
        <v>-6846797973.181223</v>
      </c>
      <c r="D11" s="18">
        <f>-D6*Assumptions!B10</f>
        <v>-7380793295.842424</v>
      </c>
      <c r="E11" s="18">
        <f>-E6*Assumptions!B10</f>
        <v>-7956435970.410455</v>
      </c>
      <c r="F11" s="18">
        <f>-F6*Assumptions!B10</f>
        <v>-8576974156.274066</v>
      </c>
    </row>
    <row r="12" spans="1:6" x14ac:dyDescent="0.25">
      <c r="A12" t="s">
        <v>48</v>
      </c>
      <c r="B12" s="18">
        <f>-(B6-Assumptions!B29)*Assumptions!B11</f>
        <v>976004856.9190007</v>
      </c>
      <c r="C12" s="18">
        <f>-(C6-B6)*Assumptions!B11</f>
        <v>1052125407.0697156</v>
      </c>
      <c r="D12" s="18">
        <f>-(D6-C6)*Assumptions!B11</f>
        <v>1134182749.5572433</v>
      </c>
      <c r="E12" s="18">
        <f>-(E6-D6)*Assumptions!B11</f>
        <v>1222639906.5639062</v>
      </c>
      <c r="F12" s="18">
        <f>-(F6-E6)*Assumptions!B11</f>
        <v>1317996012.2882755</v>
      </c>
    </row>
    <row r="13" spans="1:6" x14ac:dyDescent="0.25">
      <c r="A13" s="19" t="s">
        <v>49</v>
      </c>
      <c r="B13" s="20">
        <f>B9+B10+B11+B12</f>
        <v>2190104975.1584053</v>
      </c>
      <c r="C13" s="20">
        <f>C9+C10+C11+C12</f>
        <v>2360915596.043167</v>
      </c>
      <c r="D13" s="20">
        <f>D9+D10+D11+D12</f>
        <v>2545048075.2579975</v>
      </c>
      <c r="E13" s="20">
        <f>E9+E10+E11+E12</f>
        <v>2743541410.8959136</v>
      </c>
      <c r="F13" s="20">
        <f>F9+F10+F11+F12</f>
        <v>2957515634.5672226</v>
      </c>
    </row>
    <row r="14" spans="1:6" x14ac:dyDescent="0.25">
      <c r="A14" t="s">
        <v>50</v>
      </c>
      <c r="B14" s="21">
        <f>1/(1+Assumptions!$B$26)^(1-0.5*Assumptions!$B$32)</f>
        <v>0.955886389070854</v>
      </c>
      <c r="C14" s="21">
        <f>1/(1+Assumptions!$B$26)^(2-0.5*Assumptions!$B$32)</f>
        <v>0.8734113536626604</v>
      </c>
      <c r="D14" s="21">
        <f>1/(1+Assumptions!$B$26)^(3-0.5*Assumptions!$B$32)</f>
        <v>0.7980523642023485</v>
      </c>
      <c r="E14" s="21">
        <f>1/(1+Assumptions!$B$26)^(4-0.5*Assumptions!$B$32)</f>
        <v>0.7291954396266578</v>
      </c>
      <c r="F14" s="21">
        <f>1/(1+Assumptions!$B$26)^(5-0.5*Assumptions!$B$32)</f>
        <v>0.666279573902113</v>
      </c>
    </row>
    <row r="15" spans="1:6" x14ac:dyDescent="0.25">
      <c r="A15" s="19" t="s">
        <v>51</v>
      </c>
      <c r="B15" s="20">
        <f>B13*B14</f>
        <v>2093491536.3902805</v>
      </c>
      <c r="C15" s="20">
        <f>C13*C14</f>
        <v>2062050486.6233494</v>
      </c>
      <c r="D15" s="20">
        <f>D13*D14</f>
        <v>2031081633.4682815</v>
      </c>
      <c r="E15" s="20">
        <f>E13*E14</f>
        <v>2000577885.2521868</v>
      </c>
      <c r="F15" s="20">
        <f>F13*F14</f>
        <v>1970532256.8082864</v>
      </c>
    </row>
    <row r="17" spans="1:2" x14ac:dyDescent="0.25">
      <c r="A17" s="22" t="s">
        <v>52</v>
      </c>
      <c r="B17" s="23">
        <f>SUM(B15:F15)</f>
        <v>10157733798.542385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2957515634.5672226</v>
      </c>
    </row>
    <row r="5" spans="1:2" x14ac:dyDescent="0.25">
      <c r="A5" t="s">
        <v>56</v>
      </c>
      <c r="B5" s="18">
        <f>IF(Assumptions!$B$33=0,B4,B4-Forecast!F11-Forecast!F10-Forecast!F12)</f>
        <v>6496773070.207711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0.18414788904252472</v>
      </c>
    </row>
    <row r="7" spans="1:2" x14ac:dyDescent="0.25">
      <c r="A7" t="s">
        <v>58</v>
      </c>
      <c r="B7" s="18">
        <f>-MAX(Forecast!F9,0)*B6</f>
        <v>-1196367046.4670722</v>
      </c>
    </row>
    <row r="8" spans="1:2" x14ac:dyDescent="0.25">
      <c r="A8" t="s">
        <v>59</v>
      </c>
      <c r="B8" s="18">
        <f>IF(OR(Assumptions!$B$33=0,Assumptions!B12&lt;=0),B5,MAX(B5+B7,0))</f>
        <v>5300406023.740639</v>
      </c>
    </row>
    <row r="9" spans="1:2" x14ac:dyDescent="0.25">
      <c r="A9" t="s">
        <v>60</v>
      </c>
      <c r="B9" s="18">
        <f>B8*(1+Assumptions!B12)/(Assumptions!B26-Assumptions!B12)</f>
        <v>78251815806.78596</v>
      </c>
    </row>
    <row r="10" spans="1:2" x14ac:dyDescent="0.25">
      <c r="A10" t="s">
        <v>61</v>
      </c>
      <c r="B10" s="18">
        <f>B9/(1+Assumptions!B26)^(5-0.5*Assumptions!B32)</f>
        <v>52137586492.81198</v>
      </c>
    </row>
    <row r="11" spans="1:2" x14ac:dyDescent="0.25">
      <c r="A11" t="s">
        <v>62</v>
      </c>
      <c r="B11" s="18">
        <f>Forecast!B17+B10</f>
        <v>62295320291.35437</v>
      </c>
    </row>
    <row r="12" spans="1:2" x14ac:dyDescent="0.25">
      <c r="A12" t="s">
        <v>63</v>
      </c>
      <c r="B12" s="18">
        <f>-Assumptions!B30</f>
        <v>-15964000000</v>
      </c>
    </row>
    <row r="13" spans="1:2" x14ac:dyDescent="0.25">
      <c r="A13" t="s">
        <v>64</v>
      </c>
      <c r="B13" s="18">
        <f>B11+B12</f>
        <v>46331320291.35437</v>
      </c>
    </row>
    <row r="14" spans="1:2" x14ac:dyDescent="0.25">
      <c r="A14" s="19" t="s">
        <v>65</v>
      </c>
      <c r="B14" s="24">
        <f>B13/Assumptions!B31</f>
        <v>70.84328076051504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11943484088.355062</v>
      </c>
    </row>
    <row r="18" spans="1:2" x14ac:dyDescent="0.25">
      <c r="A18" t="s">
        <v>60</v>
      </c>
      <c r="B18" s="18">
        <f>B17*Assumptions!B13</f>
        <v>98732724110.2319</v>
      </c>
    </row>
    <row r="19" spans="1:2" x14ac:dyDescent="0.25">
      <c r="A19" t="s">
        <v>61</v>
      </c>
      <c r="B19" s="18">
        <f>B18/(1+Assumptions!B26)^(5-0.5*Assumptions!B32)</f>
        <v>65783597350.36019</v>
      </c>
    </row>
    <row r="20" spans="1:2" x14ac:dyDescent="0.25">
      <c r="A20" t="s">
        <v>62</v>
      </c>
      <c r="B20" s="18">
        <f>Forecast!B17+B19</f>
        <v>75941331148.90257</v>
      </c>
    </row>
    <row r="21" spans="1:2" x14ac:dyDescent="0.25">
      <c r="A21" t="s">
        <v>63</v>
      </c>
      <c r="B21" s="18">
        <f>-Assumptions!B30</f>
        <v>-15964000000</v>
      </c>
    </row>
    <row r="22" spans="1:2" x14ac:dyDescent="0.25">
      <c r="A22" t="s">
        <v>64</v>
      </c>
      <c r="B22" s="18">
        <f>B20+B21</f>
        <v>59977331148.90257</v>
      </c>
    </row>
    <row r="23" spans="1:2" x14ac:dyDescent="0.25">
      <c r="A23" s="19" t="s">
        <v>65</v>
      </c>
      <c r="B23" s="25">
        <f>B22/Assumptions!B31</f>
        <v>91.70882424952111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79.62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70.84328076051504</v>
      </c>
    </row>
    <row r="29" spans="1:2" x14ac:dyDescent="0.25">
      <c r="A29" s="19" t="s">
        <v>73</v>
      </c>
      <c r="B29" s="12">
        <f>B28/B26-1</f>
        <v>-0.11023259532133833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0.074429</v>
      </c>
      <c r="B5" s="31">
        <v>101.10615765298625</v>
      </c>
      <c r="C5" s="31">
        <v>106.76675693440028</v>
      </c>
      <c r="D5" s="31">
        <v>113.51897002081009</v>
      </c>
      <c r="E5" s="31">
        <v>121.73134464173786</v>
      </c>
      <c r="F5" s="31">
        <v>131.9593709952045</v>
      </c>
    </row>
    <row r="6" spans="1:6" x14ac:dyDescent="0.25">
      <c r="A6" s="30">
        <v>0.084429</v>
      </c>
      <c r="B6" s="31">
        <v>81.17949613396311</v>
      </c>
      <c r="C6" s="31">
        <v>84.59491554034179</v>
      </c>
      <c r="D6" s="31">
        <v>88.54229288217961</v>
      </c>
      <c r="E6" s="31">
        <v>93.16822958577305</v>
      </c>
      <c r="F6" s="31">
        <v>98.67864505929</v>
      </c>
    </row>
    <row r="7" spans="1:6" x14ac:dyDescent="0.25">
      <c r="A7" s="30">
        <v>0.094429</v>
      </c>
      <c r="B7" s="31">
        <v>66.35617487231968</v>
      </c>
      <c r="C7" s="31">
        <v>68.46512343810936</v>
      </c>
      <c r="D7" s="32">
        <v>70.84271794891252</v>
      </c>
      <c r="E7" s="31">
        <v>73.55150305349304</v>
      </c>
      <c r="F7" s="31">
        <v>76.67507192869488</v>
      </c>
    </row>
    <row r="8" spans="1:6" x14ac:dyDescent="0.25">
      <c r="A8" s="30">
        <v>0.104429</v>
      </c>
      <c r="B8" s="31">
        <v>54.91984371009307</v>
      </c>
      <c r="C8" s="31">
        <v>56.226208994853295</v>
      </c>
      <c r="D8" s="31">
        <v>57.66758475873423</v>
      </c>
      <c r="E8" s="31">
        <v>59.271180250641805</v>
      </c>
      <c r="F8" s="31">
        <v>61.072042726339326</v>
      </c>
    </row>
    <row r="9" spans="1:6" x14ac:dyDescent="0.25">
      <c r="A9" s="30">
        <v>0.114429</v>
      </c>
      <c r="B9" s="31">
        <v>45.844893532205965</v>
      </c>
      <c r="C9" s="31">
        <v>46.63848419975653</v>
      </c>
      <c r="D9" s="31">
        <v>47.49568971900184</v>
      </c>
      <c r="E9" s="31">
        <v>48.42781216358281</v>
      </c>
      <c r="F9" s="31">
        <v>49.44899943766578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63364000000</v>
      </c>
      <c r="C5" s="18">
        <v>61643000000</v>
      </c>
      <c r="D5" s="18">
        <v>58048000000</v>
      </c>
      <c r="E5" s="18">
        <v>50582000000</v>
      </c>
      <c r="F5" s="8" t="s">
        <v>84</v>
      </c>
    </row>
    <row r="6" spans="1:6" x14ac:dyDescent="0.25">
      <c r="A6" t="s">
        <v>44</v>
      </c>
      <c r="B6" s="18">
        <v>5822000000</v>
      </c>
      <c r="C6" s="18">
        <v>5995000000</v>
      </c>
      <c r="D6" s="18">
        <v>5521000000</v>
      </c>
      <c r="E6" s="18">
        <v>3661000000</v>
      </c>
      <c r="F6" s="8" t="s">
        <v>85</v>
      </c>
    </row>
    <row r="7" spans="1:6" x14ac:dyDescent="0.25">
      <c r="A7" t="s">
        <v>86</v>
      </c>
      <c r="B7" s="18">
        <v>2443000000</v>
      </c>
      <c r="C7" s="18">
        <v>2513000000</v>
      </c>
      <c r="D7" s="18">
        <v>2341000000</v>
      </c>
      <c r="E7" s="18">
        <v>2107000000</v>
      </c>
      <c r="F7" s="8" t="s">
        <v>87</v>
      </c>
    </row>
    <row r="8" spans="1:6" x14ac:dyDescent="0.25">
      <c r="A8" t="s">
        <v>88</v>
      </c>
      <c r="B8" s="18">
        <v>4499000000</v>
      </c>
      <c r="C8" s="18">
        <v>5140000000</v>
      </c>
      <c r="D8" s="18">
        <v>5323000000</v>
      </c>
      <c r="E8" s="18">
        <v>6366000000</v>
      </c>
      <c r="F8" s="8" t="s">
        <v>89</v>
      </c>
    </row>
    <row r="9" spans="1:6" x14ac:dyDescent="0.25">
      <c r="A9" t="s">
        <v>90</v>
      </c>
      <c r="B9" s="18">
        <v>-1536000000</v>
      </c>
      <c r="C9" s="18">
        <v>-710000000</v>
      </c>
      <c r="D9" s="18">
        <v>12000000</v>
      </c>
      <c r="E9" s="18">
        <v>-2153000000</v>
      </c>
      <c r="F9" s="8" t="s">
        <v>91</v>
      </c>
    </row>
    <row r="10" spans="1:6" x14ac:dyDescent="0.25">
      <c r="A10" t="s">
        <v>92</v>
      </c>
      <c r="B10" s="18">
        <v>20274000000</v>
      </c>
      <c r="C10" s="18">
        <v>22771000000</v>
      </c>
      <c r="D10" s="18">
        <v>27281000000</v>
      </c>
      <c r="E10" s="18">
        <v>30610000000</v>
      </c>
      <c r="F10" s="8" t="s">
        <v>93</v>
      </c>
    </row>
    <row r="11" spans="1:6" x14ac:dyDescent="0.25">
      <c r="A11" t="s">
        <v>94</v>
      </c>
      <c r="B11" s="18">
        <v>4310000000</v>
      </c>
      <c r="C11" s="18">
        <v>3069000000</v>
      </c>
      <c r="D11" s="18">
        <v>3868000000</v>
      </c>
      <c r="E11" s="18">
        <v>6534000000</v>
      </c>
      <c r="F11" s="8" t="s">
        <v>95</v>
      </c>
    </row>
    <row r="12" spans="1:6" x14ac:dyDescent="0.25">
      <c r="A12" t="s">
        <v>32</v>
      </c>
      <c r="B12" s="34">
        <v>653997384</v>
      </c>
      <c r="C12" s="34">
        <v>647997408</v>
      </c>
      <c r="D12" s="34">
        <v>642997428</v>
      </c>
      <c r="E12" s="34">
        <v>640997436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2026-09-19T00:06:21Z</dcterms:modified>
</cp:coreProperties>
</file>